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400" activeTab="5"/>
  </bookViews>
  <sheets>
    <sheet name="IR" sheetId="1" r:id="rId1"/>
    <sheet name="ADT" sheetId="2" r:id="rId2"/>
    <sheet name="TECHN" sheetId="3" r:id="rId3"/>
    <sheet name="AI" sheetId="4" r:id="rId4"/>
    <sheet name="IE" sheetId="5" r:id="rId5"/>
    <sheet name="TOTAL" sheetId="6" r:id="rId6"/>
  </sheets>
  <definedNames/>
  <calcPr fullCalcOnLoad="1"/>
</workbook>
</file>

<file path=xl/sharedStrings.xml><?xml version="1.0" encoding="utf-8"?>
<sst xmlns="http://schemas.openxmlformats.org/spreadsheetml/2006/main" count="350" uniqueCount="73">
  <si>
    <t>Blanc</t>
  </si>
  <si>
    <t>ferc sup-cgt</t>
  </si>
  <si>
    <t>fo</t>
  </si>
  <si>
    <t>cfdt</t>
  </si>
  <si>
    <t>fsu</t>
  </si>
  <si>
    <t>Académie</t>
  </si>
  <si>
    <t>inscrits</t>
  </si>
  <si>
    <t>votants</t>
  </si>
  <si>
    <t>Nuls</t>
  </si>
  <si>
    <t>%</t>
  </si>
  <si>
    <t>Aix-Marseille</t>
  </si>
  <si>
    <t>Amiens</t>
  </si>
  <si>
    <t>Antilles</t>
  </si>
  <si>
    <t>Besançon</t>
  </si>
  <si>
    <t>Bordeaux</t>
  </si>
  <si>
    <t>Caen</t>
  </si>
  <si>
    <t>Clermont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</si>
  <si>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</si>
  <si>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</si>
  <si>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</si>
  <si>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</si>
  <si>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</si>
  <si>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</si>
  <si>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</si>
  <si>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</si>
  <si>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</si>
  <si>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</si>
  <si>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</si>
  <si>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Orléans-T.</t>
  </si>
  <si>
    <t>Paris</t>
  </si>
  <si>
    <t>Poitiers</t>
  </si>
  <si>
    <t>Reims</t>
  </si>
  <si>
    <t>Rennes</t>
  </si>
  <si>
    <t>La Réunion</t>
  </si>
  <si>
    <t>Rouen</t>
  </si>
  <si>
    <t>Strasbourg</t>
  </si>
  <si>
    <t>Toulouse</t>
  </si>
  <si>
    <t>Versailles</t>
  </si>
  <si>
    <t>Bur. Central</t>
  </si>
  <si>
    <t>TOTAL</t>
  </si>
  <si>
    <t>Exprimés</t>
  </si>
  <si>
    <t>Pacifique</t>
  </si>
  <si>
    <t>Corps des ADJOINTS TECHNIQUES</t>
  </si>
  <si>
    <t>Corps des TECHNICIENS</t>
  </si>
  <si>
    <t>Et Fran Etrang</t>
  </si>
  <si>
    <t>Corps des ASSISTANTS INGENIEURS</t>
  </si>
  <si>
    <t>Corps des INGENIEURS D ETUDES</t>
  </si>
  <si>
    <t>Ets Fran Etrang</t>
  </si>
  <si>
    <t>TOUS CORPS CONFONDUS</t>
  </si>
  <si>
    <t>Martinique*</t>
  </si>
  <si>
    <t>Guadeloupe*</t>
  </si>
  <si>
    <t>Pacifique*</t>
  </si>
  <si>
    <t>Etab Franç Etra*</t>
  </si>
  <si>
    <t>La Réunion*</t>
  </si>
  <si>
    <t>Corse*</t>
  </si>
  <si>
    <t>* dépouillement au niveau du bureau central</t>
  </si>
  <si>
    <t>Antilles *</t>
  </si>
  <si>
    <t>Corse *</t>
  </si>
  <si>
    <t>Limoges *</t>
  </si>
  <si>
    <t>La Réunion *</t>
  </si>
  <si>
    <t>Martinique *</t>
  </si>
  <si>
    <t>Guadeloupe</t>
  </si>
  <si>
    <t>Guadeloupe *</t>
  </si>
  <si>
    <t>Corps des INGENIEURS DE RECHERCHE</t>
  </si>
  <si>
    <t>Martinique</t>
  </si>
  <si>
    <t>Ets Fçs Etrang</t>
  </si>
  <si>
    <t>cftc</t>
  </si>
  <si>
    <t>CAPN des ITARF - SCRUTIN du 29 janvier 2008</t>
  </si>
  <si>
    <t>unsa</t>
  </si>
  <si>
    <t>sud</t>
  </si>
  <si>
    <t>CAPN des ITARF - SCRUTIN du 29 JANVIER 2008</t>
  </si>
  <si>
    <t>Terr Outre Mer</t>
  </si>
  <si>
    <t>l'intitulé "Territoire d'Outre-Mer" inclut les COM, les écoles françaises à l'étranger ainsi que la Guyane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</si>
</sst>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.000\ _F_-;\-* #,##0.000\ _F_-;_-* &quot;-&quot;??\ _F_-;_-@_-"/>
    <numFmt numFmtId="174" formatCode="_-* #,##0.0000\ _F_-;\-* #,##0.0000\ _F_-;_-* &quot;-&quot;??\ _F_-;_-@_-"/>
    <numFmt numFmtId="175" formatCode="0.000%"/>
    <numFmt numFmtId="176" formatCode="_-* #,##0.0\ _F_-;\-* #,##0.0\ _F_-;_-* &quot;-&quot;??\ _F_-;_-@_-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\ _F_-;\-* #,##0\ _F_-;_-* &quot;-&quot;??\ _F_-;_-@_-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"/>
    </xf>
    <xf numFmtId="171" fontId="1" fillId="0" borderId="7" xfId="15" applyFont="1" applyBorder="1" applyAlignment="1">
      <alignment/>
    </xf>
    <xf numFmtId="171" fontId="1" fillId="0" borderId="4" xfId="15" applyFont="1" applyBorder="1" applyAlignment="1">
      <alignment/>
    </xf>
    <xf numFmtId="171" fontId="1" fillId="0" borderId="8" xfId="15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1" fontId="1" fillId="0" borderId="16" xfId="15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1" xfId="0" applyFont="1" applyBorder="1" applyAlignment="1">
      <alignment/>
    </xf>
    <xf numFmtId="171" fontId="1" fillId="0" borderId="22" xfId="15" applyFont="1" applyBorder="1" applyAlignment="1">
      <alignment/>
    </xf>
    <xf numFmtId="171" fontId="1" fillId="0" borderId="5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23" xfId="15" applyFont="1" applyBorder="1" applyAlignment="1">
      <alignment/>
    </xf>
    <xf numFmtId="171" fontId="1" fillId="0" borderId="24" xfId="15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0" xfId="0" applyFont="1" applyBorder="1" applyAlignment="1">
      <alignment horizontal="center"/>
    </xf>
    <xf numFmtId="171" fontId="1" fillId="0" borderId="21" xfId="15" applyFont="1" applyBorder="1" applyAlignment="1">
      <alignment/>
    </xf>
    <xf numFmtId="171" fontId="1" fillId="0" borderId="30" xfId="15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171" fontId="1" fillId="2" borderId="7" xfId="15" applyFont="1" applyFill="1" applyBorder="1" applyAlignment="1">
      <alignment/>
    </xf>
    <xf numFmtId="0" fontId="1" fillId="2" borderId="7" xfId="0" applyFont="1" applyFill="1" applyBorder="1" applyAlignment="1">
      <alignment/>
    </xf>
    <xf numFmtId="171" fontId="1" fillId="2" borderId="8" xfId="15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171" fontId="1" fillId="2" borderId="16" xfId="15" applyFont="1" applyFill="1" applyBorder="1" applyAlignment="1">
      <alignment/>
    </xf>
    <xf numFmtId="171" fontId="1" fillId="2" borderId="22" xfId="15" applyFont="1" applyFill="1" applyBorder="1" applyAlignment="1">
      <alignment/>
    </xf>
    <xf numFmtId="0" fontId="1" fillId="2" borderId="3" xfId="0" applyFont="1" applyFill="1" applyBorder="1" applyAlignment="1">
      <alignment/>
    </xf>
    <xf numFmtId="171" fontId="1" fillId="2" borderId="4" xfId="15" applyFont="1" applyFill="1" applyBorder="1" applyAlignment="1">
      <alignment/>
    </xf>
    <xf numFmtId="0" fontId="1" fillId="2" borderId="4" xfId="0" applyFont="1" applyFill="1" applyBorder="1" applyAlignment="1">
      <alignment/>
    </xf>
    <xf numFmtId="171" fontId="1" fillId="2" borderId="5" xfId="15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171" fontId="1" fillId="2" borderId="13" xfId="15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2" borderId="17" xfId="0" applyFont="1" applyFill="1" applyBorder="1" applyAlignment="1">
      <alignment/>
    </xf>
    <xf numFmtId="171" fontId="1" fillId="0" borderId="32" xfId="15" applyFont="1" applyBorder="1" applyAlignment="1">
      <alignment/>
    </xf>
    <xf numFmtId="0" fontId="1" fillId="2" borderId="1" xfId="0" applyFont="1" applyFill="1" applyBorder="1" applyAlignment="1">
      <alignment horizontal="center"/>
    </xf>
    <xf numFmtId="171" fontId="1" fillId="0" borderId="27" xfId="15" applyFont="1" applyBorder="1" applyAlignment="1">
      <alignment/>
    </xf>
    <xf numFmtId="171" fontId="1" fillId="0" borderId="33" xfId="15" applyFont="1" applyBorder="1" applyAlignment="1">
      <alignment/>
    </xf>
    <xf numFmtId="171" fontId="1" fillId="0" borderId="28" xfId="15" applyFont="1" applyBorder="1" applyAlignment="1">
      <alignment/>
    </xf>
    <xf numFmtId="0" fontId="1" fillId="0" borderId="9" xfId="15" applyNumberFormat="1" applyFont="1" applyBorder="1" applyAlignment="1">
      <alignment/>
    </xf>
    <xf numFmtId="0" fontId="1" fillId="0" borderId="19" xfId="15" applyNumberFormat="1" applyFont="1" applyBorder="1" applyAlignment="1">
      <alignment/>
    </xf>
    <xf numFmtId="0" fontId="1" fillId="0" borderId="38" xfId="0" applyFont="1" applyBorder="1" applyAlignment="1">
      <alignment/>
    </xf>
    <xf numFmtId="171" fontId="1" fillId="0" borderId="32" xfId="15" applyFont="1" applyFill="1" applyBorder="1" applyAlignment="1">
      <alignment/>
    </xf>
    <xf numFmtId="171" fontId="1" fillId="0" borderId="31" xfId="15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71" fontId="1" fillId="0" borderId="8" xfId="15" applyFont="1" applyFill="1" applyBorder="1" applyAlignment="1">
      <alignment/>
    </xf>
    <xf numFmtId="0" fontId="1" fillId="0" borderId="17" xfId="15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171" fontId="1" fillId="0" borderId="22" xfId="15" applyFont="1" applyFill="1" applyBorder="1" applyAlignment="1">
      <alignment/>
    </xf>
    <xf numFmtId="0" fontId="1" fillId="0" borderId="3" xfId="15" applyNumberFormat="1" applyFont="1" applyBorder="1" applyAlignment="1">
      <alignment/>
    </xf>
    <xf numFmtId="171" fontId="1" fillId="0" borderId="20" xfId="15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43"/>
  <sheetViews>
    <sheetView workbookViewId="0" topLeftCell="A7">
      <selection activeCell="A35" sqref="A35"/>
    </sheetView>
  </sheetViews>
  <sheetFormatPr defaultColWidth="11.421875" defaultRowHeight="12.75"/>
  <cols>
    <col min="2" max="5" width="4.421875" style="0" bestFit="1" customWidth="1"/>
    <col min="6" max="6" width="4.8515625" style="0" bestFit="1" customWidth="1"/>
    <col min="7" max="9" width="4.421875" style="0" bestFit="1" customWidth="1"/>
    <col min="10" max="10" width="7.28125" style="0" bestFit="1" customWidth="1"/>
    <col min="11" max="11" width="4.421875" style="0" bestFit="1" customWidth="1"/>
    <col min="12" max="12" width="7.28125" style="0" bestFit="1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8.140625" style="0" customWidth="1"/>
    <col min="19" max="19" width="4.421875" style="0" bestFit="1" customWidth="1"/>
    <col min="20" max="20" width="7.28125" style="0" bestFit="1" customWidth="1"/>
    <col min="21" max="21" width="4.421875" style="0" bestFit="1" customWidth="1"/>
    <col min="22" max="22" width="7.28125" style="0" bestFit="1" customWidth="1"/>
    <col min="23" max="23" width="4.421875" style="0" bestFit="1" customWidth="1"/>
    <col min="24" max="24" width="7.140625" style="0" customWidth="1"/>
    <col min="25" max="25" width="4.421875" style="0" bestFit="1" customWidth="1"/>
    <col min="26" max="26" width="7.28125" style="0" customWidth="1"/>
    <col min="27" max="27" width="4.421875" style="0" bestFit="1" customWidth="1"/>
    <col min="28" max="28" width="9.00390625" style="0" customWidth="1"/>
  </cols>
  <sheetData>
    <row r="1" spans="1:28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5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6"/>
      <c r="I4" s="57" t="s">
        <v>1</v>
      </c>
      <c r="J4" s="57"/>
      <c r="K4" s="57"/>
      <c r="L4" s="57"/>
      <c r="M4" s="5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4"/>
      <c r="Y4" s="4" t="s">
        <v>4</v>
      </c>
      <c r="Z4" s="4"/>
      <c r="AA4" s="4"/>
      <c r="AB4" s="4"/>
    </row>
    <row r="5" spans="1:28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20">
        <v>2005</v>
      </c>
      <c r="I5" s="82">
        <v>2008</v>
      </c>
      <c r="J5" s="59" t="s">
        <v>9</v>
      </c>
      <c r="K5" s="59">
        <v>2005</v>
      </c>
      <c r="L5" s="60" t="s">
        <v>9</v>
      </c>
      <c r="M5" s="30">
        <v>2008</v>
      </c>
      <c r="N5" s="8" t="s">
        <v>9</v>
      </c>
      <c r="O5" s="8">
        <v>2005</v>
      </c>
      <c r="P5" s="9" t="s">
        <v>9</v>
      </c>
      <c r="Q5" s="6">
        <v>2008</v>
      </c>
      <c r="R5" s="51" t="s">
        <v>9</v>
      </c>
      <c r="S5" s="7">
        <v>2005</v>
      </c>
      <c r="T5" s="9" t="s">
        <v>9</v>
      </c>
      <c r="U5" s="6">
        <v>2008</v>
      </c>
      <c r="V5" s="8" t="s">
        <v>9</v>
      </c>
      <c r="W5" s="8">
        <v>2005</v>
      </c>
      <c r="X5" s="9" t="s">
        <v>9</v>
      </c>
      <c r="Y5" s="6">
        <v>2008</v>
      </c>
      <c r="Z5" s="8" t="s">
        <v>9</v>
      </c>
      <c r="AA5" s="8">
        <v>2005</v>
      </c>
      <c r="AB5" s="30" t="s">
        <v>9</v>
      </c>
    </row>
    <row r="6" spans="1:28" ht="12.75">
      <c r="A6" s="10" t="s">
        <v>10</v>
      </c>
      <c r="B6" s="11">
        <v>140</v>
      </c>
      <c r="C6" s="11">
        <v>122</v>
      </c>
      <c r="D6" s="13">
        <v>86</v>
      </c>
      <c r="E6" s="13">
        <v>78</v>
      </c>
      <c r="F6" s="42">
        <v>2</v>
      </c>
      <c r="G6" s="13">
        <v>84</v>
      </c>
      <c r="H6" s="101">
        <v>76</v>
      </c>
      <c r="I6" s="78">
        <v>19</v>
      </c>
      <c r="J6" s="62">
        <f>(I6*100)/G6</f>
        <v>22.61904761904762</v>
      </c>
      <c r="K6" s="61">
        <v>11</v>
      </c>
      <c r="L6" s="64">
        <f>(K6*100)/H6</f>
        <v>14.473684210526315</v>
      </c>
      <c r="M6" s="14">
        <v>7</v>
      </c>
      <c r="N6" s="21">
        <f>((M6*100)/G6)</f>
        <v>8.333333333333334</v>
      </c>
      <c r="O6" s="13">
        <v>4</v>
      </c>
      <c r="P6" s="23">
        <f>((O6*100)/H6)</f>
        <v>5.2631578947368425</v>
      </c>
      <c r="Q6" s="13">
        <v>9</v>
      </c>
      <c r="R6" s="52">
        <f>((Q6*100)/G6)</f>
        <v>10.714285714285714</v>
      </c>
      <c r="S6" s="13">
        <v>12</v>
      </c>
      <c r="T6" s="23">
        <f>((S6*100)/H6)</f>
        <v>15.789473684210526</v>
      </c>
      <c r="U6" s="11">
        <v>43</v>
      </c>
      <c r="V6" s="21">
        <f>((U6*100)/G6)</f>
        <v>51.19047619047619</v>
      </c>
      <c r="W6" s="11">
        <v>43</v>
      </c>
      <c r="X6" s="23">
        <f>((W6*100)/H6)</f>
        <v>56.578947368421055</v>
      </c>
      <c r="Y6" s="13">
        <v>6</v>
      </c>
      <c r="Z6" s="21">
        <f>((Y6*100)/G6)</f>
        <v>7.142857142857143</v>
      </c>
      <c r="AA6" s="13">
        <v>6</v>
      </c>
      <c r="AB6" s="38">
        <f>((AA6*100)/H6)</f>
        <v>7.894736842105263</v>
      </c>
    </row>
    <row r="7" spans="1:28" ht="12.75">
      <c r="A7" s="15" t="s">
        <v>11</v>
      </c>
      <c r="B7" s="11">
        <v>23</v>
      </c>
      <c r="C7" s="11">
        <v>24</v>
      </c>
      <c r="D7" s="13">
        <v>13</v>
      </c>
      <c r="E7" s="13">
        <v>12</v>
      </c>
      <c r="F7" s="42">
        <v>0</v>
      </c>
      <c r="G7" s="13">
        <v>13</v>
      </c>
      <c r="H7" s="101">
        <v>12</v>
      </c>
      <c r="I7" s="78">
        <v>0</v>
      </c>
      <c r="J7" s="62">
        <f>IF(I7&gt;0,(I7*100)/G7,"")</f>
      </c>
      <c r="K7" s="61">
        <v>0</v>
      </c>
      <c r="L7" s="64">
        <f aca="true" t="shared" si="0" ref="L7:L40">(K7*100)/H7</f>
        <v>0</v>
      </c>
      <c r="M7" s="14">
        <v>0</v>
      </c>
      <c r="N7" s="21">
        <f>IF(M7&gt;0,(M7*100)/K7,"")</f>
      </c>
      <c r="O7" s="13">
        <v>0</v>
      </c>
      <c r="P7" s="23">
        <f aca="true" t="shared" si="1" ref="P7:P40">((O7*100)/H7)</f>
        <v>0</v>
      </c>
      <c r="Q7" s="13">
        <v>3</v>
      </c>
      <c r="R7" s="52">
        <f>IF(Q7&gt;0,(Q7*100)/G7,"")</f>
        <v>23.076923076923077</v>
      </c>
      <c r="S7" s="13">
        <v>2</v>
      </c>
      <c r="T7" s="23">
        <f aca="true" t="shared" si="2" ref="T7:T40">((S7*100)/H7)</f>
        <v>16.666666666666668</v>
      </c>
      <c r="U7" s="11">
        <v>8</v>
      </c>
      <c r="V7" s="21">
        <f>IF(U7&gt;0,(U7*100)/G7,"")</f>
        <v>61.53846153846154</v>
      </c>
      <c r="W7" s="11">
        <v>7</v>
      </c>
      <c r="X7" s="23">
        <f aca="true" t="shared" si="3" ref="X7:X40">((W7*100)/H7)</f>
        <v>58.333333333333336</v>
      </c>
      <c r="Y7" s="13">
        <v>2</v>
      </c>
      <c r="Z7" s="21">
        <f>IF(Y7&gt;0,(Y7*100)/W7,"")</f>
        <v>28.571428571428573</v>
      </c>
      <c r="AA7" s="13">
        <v>3</v>
      </c>
      <c r="AB7" s="38">
        <f aca="true" t="shared" si="4" ref="AB7:AB40">((AA7*100)/H7)</f>
        <v>25</v>
      </c>
    </row>
    <row r="8" spans="1:28" ht="12.75">
      <c r="A8" s="15" t="s">
        <v>13</v>
      </c>
      <c r="B8" s="11">
        <v>42</v>
      </c>
      <c r="C8" s="11">
        <v>35</v>
      </c>
      <c r="D8" s="13">
        <v>22</v>
      </c>
      <c r="E8" s="13">
        <v>22</v>
      </c>
      <c r="F8" s="42">
        <v>0</v>
      </c>
      <c r="G8" s="13">
        <v>22</v>
      </c>
      <c r="H8" s="101">
        <v>21</v>
      </c>
      <c r="I8" s="78">
        <v>4</v>
      </c>
      <c r="J8" s="62">
        <f aca="true" t="shared" si="5" ref="J8:J40">(I8*100)/G8</f>
        <v>18.181818181818183</v>
      </c>
      <c r="K8" s="61">
        <v>3</v>
      </c>
      <c r="L8" s="64">
        <f t="shared" si="0"/>
        <v>14.285714285714286</v>
      </c>
      <c r="M8" s="14">
        <v>0</v>
      </c>
      <c r="N8" s="21">
        <f aca="true" t="shared" si="6" ref="N8:N40">((M8*100)/G8)</f>
        <v>0</v>
      </c>
      <c r="O8" s="13">
        <v>1</v>
      </c>
      <c r="P8" s="23">
        <f t="shared" si="1"/>
        <v>4.761904761904762</v>
      </c>
      <c r="Q8" s="13">
        <v>2</v>
      </c>
      <c r="R8" s="52">
        <f aca="true" t="shared" si="7" ref="R8:R40">((Q8*100)/G8)</f>
        <v>9.090909090909092</v>
      </c>
      <c r="S8" s="13">
        <v>2</v>
      </c>
      <c r="T8" s="23">
        <f t="shared" si="2"/>
        <v>9.523809523809524</v>
      </c>
      <c r="U8" s="11">
        <v>16</v>
      </c>
      <c r="V8" s="21">
        <f aca="true" t="shared" si="8" ref="V8:V40">((U8*100)/G8)</f>
        <v>72.72727272727273</v>
      </c>
      <c r="W8" s="11">
        <v>13</v>
      </c>
      <c r="X8" s="23">
        <f t="shared" si="3"/>
        <v>61.904761904761905</v>
      </c>
      <c r="Y8" s="13">
        <v>0</v>
      </c>
      <c r="Z8" s="21">
        <f aca="true" t="shared" si="9" ref="Z8:Z40">((Y8*100)/G8)</f>
        <v>0</v>
      </c>
      <c r="AA8" s="13">
        <v>2</v>
      </c>
      <c r="AB8" s="38">
        <f t="shared" si="4"/>
        <v>9.523809523809524</v>
      </c>
    </row>
    <row r="9" spans="1:28" ht="12.75">
      <c r="A9" s="15" t="s">
        <v>14</v>
      </c>
      <c r="B9" s="11">
        <v>76</v>
      </c>
      <c r="C9" s="11">
        <v>61</v>
      </c>
      <c r="D9" s="13">
        <v>44</v>
      </c>
      <c r="E9" s="13">
        <v>41</v>
      </c>
      <c r="F9" s="42">
        <v>3</v>
      </c>
      <c r="G9" s="13">
        <v>41</v>
      </c>
      <c r="H9" s="101">
        <v>37</v>
      </c>
      <c r="I9" s="78">
        <v>3</v>
      </c>
      <c r="J9" s="62">
        <f t="shared" si="5"/>
        <v>7.317073170731708</v>
      </c>
      <c r="K9" s="61">
        <v>2</v>
      </c>
      <c r="L9" s="64">
        <f t="shared" si="0"/>
        <v>5.405405405405405</v>
      </c>
      <c r="M9" s="14">
        <v>2</v>
      </c>
      <c r="N9" s="21">
        <f t="shared" si="6"/>
        <v>4.878048780487805</v>
      </c>
      <c r="O9" s="13">
        <v>2</v>
      </c>
      <c r="P9" s="23">
        <f t="shared" si="1"/>
        <v>5.405405405405405</v>
      </c>
      <c r="Q9" s="13">
        <v>13</v>
      </c>
      <c r="R9" s="52">
        <f t="shared" si="7"/>
        <v>31.70731707317073</v>
      </c>
      <c r="S9" s="13">
        <v>10</v>
      </c>
      <c r="T9" s="23">
        <f t="shared" si="2"/>
        <v>27.027027027027028</v>
      </c>
      <c r="U9" s="11">
        <v>21</v>
      </c>
      <c r="V9" s="21">
        <f t="shared" si="8"/>
        <v>51.21951219512195</v>
      </c>
      <c r="W9" s="11">
        <v>22</v>
      </c>
      <c r="X9" s="23">
        <f t="shared" si="3"/>
        <v>59.45945945945946</v>
      </c>
      <c r="Y9" s="13">
        <v>2</v>
      </c>
      <c r="Z9" s="21">
        <f t="shared" si="9"/>
        <v>4.878048780487805</v>
      </c>
      <c r="AA9" s="13">
        <v>1</v>
      </c>
      <c r="AB9" s="38">
        <f t="shared" si="4"/>
        <v>2.7027027027027026</v>
      </c>
    </row>
    <row r="10" spans="1:28" ht="12.75">
      <c r="A10" s="15" t="s">
        <v>15</v>
      </c>
      <c r="B10" s="11">
        <v>24</v>
      </c>
      <c r="C10" s="11">
        <v>20</v>
      </c>
      <c r="D10" s="13">
        <v>8</v>
      </c>
      <c r="E10" s="13">
        <v>7</v>
      </c>
      <c r="F10" s="42">
        <v>0</v>
      </c>
      <c r="G10" s="13">
        <v>8</v>
      </c>
      <c r="H10" s="101">
        <v>6</v>
      </c>
      <c r="I10" s="78">
        <v>2</v>
      </c>
      <c r="J10" s="62">
        <f t="shared" si="5"/>
        <v>25</v>
      </c>
      <c r="K10" s="61">
        <v>1</v>
      </c>
      <c r="L10" s="64">
        <f t="shared" si="0"/>
        <v>16.666666666666668</v>
      </c>
      <c r="M10" s="14">
        <v>0</v>
      </c>
      <c r="N10" s="21">
        <f t="shared" si="6"/>
        <v>0</v>
      </c>
      <c r="O10" s="13">
        <v>0</v>
      </c>
      <c r="P10" s="23">
        <f t="shared" si="1"/>
        <v>0</v>
      </c>
      <c r="Q10" s="13">
        <v>6</v>
      </c>
      <c r="R10" s="52">
        <f t="shared" si="7"/>
        <v>75</v>
      </c>
      <c r="S10" s="13">
        <v>3</v>
      </c>
      <c r="T10" s="23">
        <f t="shared" si="2"/>
        <v>50</v>
      </c>
      <c r="U10" s="11">
        <v>0</v>
      </c>
      <c r="V10" s="21">
        <f t="shared" si="8"/>
        <v>0</v>
      </c>
      <c r="W10" s="11">
        <v>0</v>
      </c>
      <c r="X10" s="23">
        <f t="shared" si="3"/>
        <v>0</v>
      </c>
      <c r="Y10" s="13">
        <v>0</v>
      </c>
      <c r="Z10" s="21">
        <f t="shared" si="9"/>
        <v>0</v>
      </c>
      <c r="AA10" s="13">
        <v>2</v>
      </c>
      <c r="AB10" s="38">
        <f t="shared" si="4"/>
        <v>33.333333333333336</v>
      </c>
    </row>
    <row r="11" spans="1:28" ht="12.75">
      <c r="A11" s="15" t="s">
        <v>16</v>
      </c>
      <c r="B11" s="11">
        <v>32</v>
      </c>
      <c r="C11" s="11">
        <v>27</v>
      </c>
      <c r="D11" s="13">
        <v>20</v>
      </c>
      <c r="E11" s="13">
        <v>19</v>
      </c>
      <c r="F11" s="42">
        <v>2</v>
      </c>
      <c r="G11" s="13">
        <v>18</v>
      </c>
      <c r="H11" s="101">
        <v>16</v>
      </c>
      <c r="I11" s="78">
        <v>0</v>
      </c>
      <c r="J11" s="62">
        <f t="shared" si="5"/>
        <v>0</v>
      </c>
      <c r="K11" s="61">
        <v>0</v>
      </c>
      <c r="L11" s="64">
        <f t="shared" si="0"/>
        <v>0</v>
      </c>
      <c r="M11" s="14">
        <v>1</v>
      </c>
      <c r="N11" s="21">
        <f t="shared" si="6"/>
        <v>5.555555555555555</v>
      </c>
      <c r="O11" s="13">
        <v>0</v>
      </c>
      <c r="P11" s="23">
        <f t="shared" si="1"/>
        <v>0</v>
      </c>
      <c r="Q11" s="13">
        <v>2</v>
      </c>
      <c r="R11" s="52">
        <f t="shared" si="7"/>
        <v>11.11111111111111</v>
      </c>
      <c r="S11" s="13">
        <v>3</v>
      </c>
      <c r="T11" s="23">
        <f t="shared" si="2"/>
        <v>18.75</v>
      </c>
      <c r="U11" s="11">
        <v>14</v>
      </c>
      <c r="V11" s="21">
        <f t="shared" si="8"/>
        <v>77.77777777777777</v>
      </c>
      <c r="W11" s="11">
        <v>13</v>
      </c>
      <c r="X11" s="23">
        <f t="shared" si="3"/>
        <v>81.25</v>
      </c>
      <c r="Y11" s="13">
        <v>1</v>
      </c>
      <c r="Z11" s="21">
        <f t="shared" si="9"/>
        <v>5.555555555555555</v>
      </c>
      <c r="AA11" s="13">
        <v>0</v>
      </c>
      <c r="AB11" s="38">
        <f t="shared" si="4"/>
        <v>0</v>
      </c>
    </row>
    <row r="12" spans="1:28" ht="12.75">
      <c r="A12" s="15" t="s">
        <v>54</v>
      </c>
      <c r="B12" s="11">
        <v>7</v>
      </c>
      <c r="C12" s="11"/>
      <c r="D12" s="13">
        <v>5</v>
      </c>
      <c r="E12" s="13"/>
      <c r="F12" s="42">
        <v>0</v>
      </c>
      <c r="G12" s="13">
        <v>5</v>
      </c>
      <c r="H12" s="101"/>
      <c r="I12" s="78">
        <v>0</v>
      </c>
      <c r="J12" s="62">
        <f>IF(I12&gt;0,(I12*100)/G12,"")</f>
      </c>
      <c r="K12" s="61"/>
      <c r="L12" s="64"/>
      <c r="M12" s="14">
        <v>0</v>
      </c>
      <c r="N12" s="21">
        <f>IF(M12&gt;0,(M12*100)/K12,"")</f>
      </c>
      <c r="O12" s="13"/>
      <c r="P12" s="23">
        <f>IF(O12&gt;0,(O12*100)/M12,"")</f>
      </c>
      <c r="Q12" s="13">
        <v>0</v>
      </c>
      <c r="R12" s="52">
        <f>IF(Q12&gt;0,(Q12*100)/O12,"")</f>
      </c>
      <c r="S12" s="13"/>
      <c r="T12" s="23">
        <f>IF(S12&gt;0,(S12*100)/Q12,"")</f>
      </c>
      <c r="U12" s="11">
        <v>4</v>
      </c>
      <c r="V12" s="21">
        <f>IF(U12&gt;0,(U12*100)/G12,"")</f>
        <v>80</v>
      </c>
      <c r="W12" s="11"/>
      <c r="X12" s="23">
        <f>IF(W12&gt;0,(W12*100)/U12,"")</f>
      </c>
      <c r="Y12" s="13">
        <v>1</v>
      </c>
      <c r="Z12" s="21">
        <f>IF(Y12&gt;0,(Y12*100)/G12,"")</f>
        <v>20</v>
      </c>
      <c r="AA12" s="13"/>
      <c r="AB12" s="38">
        <f>IF(AA12&gt;0,(AA12*100)/Y12,"")</f>
      </c>
    </row>
    <row r="13" spans="1:28" ht="12.75">
      <c r="A13" s="15" t="s">
        <v>18</v>
      </c>
      <c r="B13" s="11">
        <v>68</v>
      </c>
      <c r="C13" s="11">
        <v>57</v>
      </c>
      <c r="D13" s="13">
        <v>25</v>
      </c>
      <c r="E13" s="13">
        <v>25</v>
      </c>
      <c r="F13" s="42">
        <v>1</v>
      </c>
      <c r="G13" s="13">
        <v>24</v>
      </c>
      <c r="H13" s="101">
        <v>24</v>
      </c>
      <c r="I13" s="78">
        <v>3</v>
      </c>
      <c r="J13" s="62">
        <f t="shared" si="5"/>
        <v>12.5</v>
      </c>
      <c r="K13" s="61">
        <v>1</v>
      </c>
      <c r="L13" s="64">
        <f t="shared" si="0"/>
        <v>4.166666666666667</v>
      </c>
      <c r="M13" s="14">
        <v>1</v>
      </c>
      <c r="N13" s="21">
        <f t="shared" si="6"/>
        <v>4.166666666666667</v>
      </c>
      <c r="O13" s="13">
        <v>4</v>
      </c>
      <c r="P13" s="23">
        <f t="shared" si="1"/>
        <v>16.666666666666668</v>
      </c>
      <c r="Q13" s="13">
        <v>9</v>
      </c>
      <c r="R13" s="52">
        <f t="shared" si="7"/>
        <v>37.5</v>
      </c>
      <c r="S13" s="13">
        <v>10</v>
      </c>
      <c r="T13" s="23">
        <f t="shared" si="2"/>
        <v>41.666666666666664</v>
      </c>
      <c r="U13" s="11">
        <v>11</v>
      </c>
      <c r="V13" s="21">
        <f t="shared" si="8"/>
        <v>45.833333333333336</v>
      </c>
      <c r="W13" s="11">
        <v>8</v>
      </c>
      <c r="X13" s="23">
        <f t="shared" si="3"/>
        <v>33.333333333333336</v>
      </c>
      <c r="Y13" s="13">
        <v>0</v>
      </c>
      <c r="Z13" s="21">
        <f t="shared" si="9"/>
        <v>0</v>
      </c>
      <c r="AA13" s="13">
        <v>1</v>
      </c>
      <c r="AB13" s="38">
        <f t="shared" si="4"/>
        <v>4.166666666666667</v>
      </c>
    </row>
    <row r="14" spans="1:28" ht="12.75">
      <c r="A14" s="15" t="s">
        <v>19</v>
      </c>
      <c r="B14" s="11">
        <v>36</v>
      </c>
      <c r="C14" s="11">
        <v>29</v>
      </c>
      <c r="D14" s="13">
        <v>24</v>
      </c>
      <c r="E14" s="13">
        <v>16</v>
      </c>
      <c r="F14" s="42">
        <v>0</v>
      </c>
      <c r="G14" s="13">
        <v>24</v>
      </c>
      <c r="H14" s="101">
        <v>16</v>
      </c>
      <c r="I14" s="78">
        <v>3</v>
      </c>
      <c r="J14" s="62">
        <f t="shared" si="5"/>
        <v>12.5</v>
      </c>
      <c r="K14" s="61">
        <v>2</v>
      </c>
      <c r="L14" s="64">
        <f t="shared" si="0"/>
        <v>12.5</v>
      </c>
      <c r="M14" s="14">
        <v>1</v>
      </c>
      <c r="N14" s="21">
        <f t="shared" si="6"/>
        <v>4.166666666666667</v>
      </c>
      <c r="O14" s="13">
        <v>1</v>
      </c>
      <c r="P14" s="23">
        <f t="shared" si="1"/>
        <v>6.25</v>
      </c>
      <c r="Q14" s="13">
        <v>3</v>
      </c>
      <c r="R14" s="52">
        <f t="shared" si="7"/>
        <v>12.5</v>
      </c>
      <c r="S14" s="13">
        <v>3</v>
      </c>
      <c r="T14" s="23">
        <f t="shared" si="2"/>
        <v>18.75</v>
      </c>
      <c r="U14" s="11">
        <v>13</v>
      </c>
      <c r="V14" s="21">
        <f t="shared" si="8"/>
        <v>54.166666666666664</v>
      </c>
      <c r="W14" s="11">
        <v>6</v>
      </c>
      <c r="X14" s="23">
        <f t="shared" si="3"/>
        <v>37.5</v>
      </c>
      <c r="Y14" s="13">
        <v>4</v>
      </c>
      <c r="Z14" s="21">
        <f t="shared" si="9"/>
        <v>16.666666666666668</v>
      </c>
      <c r="AA14" s="13">
        <v>4</v>
      </c>
      <c r="AB14" s="38">
        <f t="shared" si="4"/>
        <v>25</v>
      </c>
    </row>
    <row r="15" spans="1:28" ht="12.75">
      <c r="A15" s="15" t="s">
        <v>20</v>
      </c>
      <c r="B15" s="11">
        <v>132</v>
      </c>
      <c r="C15" s="11">
        <v>123</v>
      </c>
      <c r="D15" s="13">
        <v>85</v>
      </c>
      <c r="E15" s="13">
        <v>64</v>
      </c>
      <c r="F15" s="42">
        <v>4</v>
      </c>
      <c r="G15" s="13">
        <v>81</v>
      </c>
      <c r="H15" s="101">
        <v>62</v>
      </c>
      <c r="I15" s="78">
        <v>7</v>
      </c>
      <c r="J15" s="62">
        <f t="shared" si="5"/>
        <v>8.641975308641975</v>
      </c>
      <c r="K15" s="61">
        <v>6</v>
      </c>
      <c r="L15" s="64">
        <f t="shared" si="0"/>
        <v>9.67741935483871</v>
      </c>
      <c r="M15" s="14">
        <v>3</v>
      </c>
      <c r="N15" s="21">
        <f t="shared" si="6"/>
        <v>3.7037037037037037</v>
      </c>
      <c r="O15" s="13">
        <v>1</v>
      </c>
      <c r="P15" s="23">
        <f t="shared" si="1"/>
        <v>1.6129032258064515</v>
      </c>
      <c r="Q15" s="13">
        <v>28</v>
      </c>
      <c r="R15" s="52">
        <f t="shared" si="7"/>
        <v>34.5679012345679</v>
      </c>
      <c r="S15" s="13">
        <v>25</v>
      </c>
      <c r="T15" s="23">
        <f t="shared" si="2"/>
        <v>40.32258064516129</v>
      </c>
      <c r="U15" s="11">
        <v>39</v>
      </c>
      <c r="V15" s="21">
        <f t="shared" si="8"/>
        <v>48.148148148148145</v>
      </c>
      <c r="W15" s="11">
        <v>28</v>
      </c>
      <c r="X15" s="23">
        <f t="shared" si="3"/>
        <v>45.16129032258065</v>
      </c>
      <c r="Y15" s="13">
        <v>4</v>
      </c>
      <c r="Z15" s="21">
        <f t="shared" si="9"/>
        <v>4.938271604938271</v>
      </c>
      <c r="AA15" s="13">
        <v>2</v>
      </c>
      <c r="AB15" s="38">
        <f t="shared" si="4"/>
        <v>3.225806451612903</v>
      </c>
    </row>
    <row r="16" spans="1:28" ht="12.75">
      <c r="A16" s="15" t="s">
        <v>21</v>
      </c>
      <c r="B16" s="11">
        <v>119</v>
      </c>
      <c r="C16" s="11">
        <v>104</v>
      </c>
      <c r="D16" s="13">
        <v>63</v>
      </c>
      <c r="E16" s="13">
        <v>51</v>
      </c>
      <c r="F16" s="42">
        <v>2</v>
      </c>
      <c r="G16" s="13">
        <v>61</v>
      </c>
      <c r="H16" s="101">
        <v>49</v>
      </c>
      <c r="I16" s="78">
        <v>3</v>
      </c>
      <c r="J16" s="62">
        <f t="shared" si="5"/>
        <v>4.918032786885246</v>
      </c>
      <c r="K16" s="61">
        <v>6</v>
      </c>
      <c r="L16" s="64">
        <f t="shared" si="0"/>
        <v>12.244897959183673</v>
      </c>
      <c r="M16" s="14">
        <v>6</v>
      </c>
      <c r="N16" s="21">
        <f t="shared" si="6"/>
        <v>9.836065573770492</v>
      </c>
      <c r="O16" s="13">
        <v>8</v>
      </c>
      <c r="P16" s="23">
        <f t="shared" si="1"/>
        <v>16.3265306122449</v>
      </c>
      <c r="Q16" s="13">
        <v>11</v>
      </c>
      <c r="R16" s="52">
        <f t="shared" si="7"/>
        <v>18.0327868852459</v>
      </c>
      <c r="S16" s="13">
        <v>16</v>
      </c>
      <c r="T16" s="23">
        <f t="shared" si="2"/>
        <v>32.6530612244898</v>
      </c>
      <c r="U16" s="11">
        <v>35</v>
      </c>
      <c r="V16" s="21">
        <f t="shared" si="8"/>
        <v>57.377049180327866</v>
      </c>
      <c r="W16" s="11">
        <v>17</v>
      </c>
      <c r="X16" s="23">
        <f t="shared" si="3"/>
        <v>34.69387755102041</v>
      </c>
      <c r="Y16" s="13">
        <v>6</v>
      </c>
      <c r="Z16" s="21">
        <f t="shared" si="9"/>
        <v>9.836065573770492</v>
      </c>
      <c r="AA16" s="13">
        <v>2</v>
      </c>
      <c r="AB16" s="38">
        <f t="shared" si="4"/>
        <v>4.081632653061225</v>
      </c>
    </row>
    <row r="17" spans="1:28" ht="12.75">
      <c r="A17" s="15" t="s">
        <v>22</v>
      </c>
      <c r="B17" s="11">
        <v>25</v>
      </c>
      <c r="C17" s="11">
        <v>22</v>
      </c>
      <c r="D17" s="13">
        <v>15</v>
      </c>
      <c r="E17" s="13">
        <v>10</v>
      </c>
      <c r="F17" s="42">
        <v>0</v>
      </c>
      <c r="G17" s="13">
        <v>15</v>
      </c>
      <c r="H17" s="101">
        <v>9</v>
      </c>
      <c r="I17" s="78">
        <v>0</v>
      </c>
      <c r="J17" s="62">
        <f t="shared" si="5"/>
        <v>0</v>
      </c>
      <c r="K17" s="61">
        <v>0</v>
      </c>
      <c r="L17" s="64">
        <f t="shared" si="0"/>
        <v>0</v>
      </c>
      <c r="M17" s="14">
        <v>0</v>
      </c>
      <c r="N17" s="21">
        <f t="shared" si="6"/>
        <v>0</v>
      </c>
      <c r="O17" s="13">
        <v>0</v>
      </c>
      <c r="P17" s="23">
        <f t="shared" si="1"/>
        <v>0</v>
      </c>
      <c r="Q17" s="13">
        <v>5</v>
      </c>
      <c r="R17" s="52">
        <f t="shared" si="7"/>
        <v>33.333333333333336</v>
      </c>
      <c r="S17" s="13">
        <v>5</v>
      </c>
      <c r="T17" s="23">
        <f t="shared" si="2"/>
        <v>55.55555555555556</v>
      </c>
      <c r="U17" s="11">
        <v>10</v>
      </c>
      <c r="V17" s="21">
        <f t="shared" si="8"/>
        <v>66.66666666666667</v>
      </c>
      <c r="W17" s="11">
        <v>4</v>
      </c>
      <c r="X17" s="23">
        <f t="shared" si="3"/>
        <v>44.44444444444444</v>
      </c>
      <c r="Y17" s="13">
        <v>0</v>
      </c>
      <c r="Z17" s="21">
        <f t="shared" si="9"/>
        <v>0</v>
      </c>
      <c r="AA17" s="13">
        <v>0</v>
      </c>
      <c r="AB17" s="38">
        <f t="shared" si="4"/>
        <v>0</v>
      </c>
    </row>
    <row r="18" spans="1:28" ht="12.75">
      <c r="A18" s="15" t="s">
        <v>23</v>
      </c>
      <c r="B18" s="11">
        <v>129</v>
      </c>
      <c r="C18" s="11">
        <f>(105)</f>
        <v>105</v>
      </c>
      <c r="D18" s="13">
        <v>77</v>
      </c>
      <c r="E18" s="13">
        <f>(71)</f>
        <v>71</v>
      </c>
      <c r="F18" s="42">
        <v>6</v>
      </c>
      <c r="G18" s="13">
        <v>71</v>
      </c>
      <c r="H18" s="101">
        <v>70</v>
      </c>
      <c r="I18" s="78">
        <v>11</v>
      </c>
      <c r="J18" s="62">
        <f t="shared" si="5"/>
        <v>15.492957746478874</v>
      </c>
      <c r="K18" s="61">
        <v>12</v>
      </c>
      <c r="L18" s="64">
        <f t="shared" si="0"/>
        <v>17.142857142857142</v>
      </c>
      <c r="M18" s="14">
        <v>2</v>
      </c>
      <c r="N18" s="21">
        <f t="shared" si="6"/>
        <v>2.816901408450704</v>
      </c>
      <c r="O18" s="13">
        <v>3</v>
      </c>
      <c r="P18" s="23">
        <f t="shared" si="1"/>
        <v>4.285714285714286</v>
      </c>
      <c r="Q18" s="13">
        <v>20</v>
      </c>
      <c r="R18" s="52">
        <f t="shared" si="7"/>
        <v>28.169014084507044</v>
      </c>
      <c r="S18" s="13">
        <v>16</v>
      </c>
      <c r="T18" s="23">
        <f t="shared" si="2"/>
        <v>22.857142857142858</v>
      </c>
      <c r="U18" s="11">
        <v>31</v>
      </c>
      <c r="V18" s="21">
        <f t="shared" si="8"/>
        <v>43.66197183098591</v>
      </c>
      <c r="W18" s="11">
        <v>29</v>
      </c>
      <c r="X18" s="23">
        <f t="shared" si="3"/>
        <v>41.42857142857143</v>
      </c>
      <c r="Y18" s="13">
        <v>7</v>
      </c>
      <c r="Z18" s="21">
        <f t="shared" si="9"/>
        <v>9.859154929577464</v>
      </c>
      <c r="AA18" s="13">
        <v>10</v>
      </c>
      <c r="AB18" s="38">
        <f t="shared" si="4"/>
        <v>14.285714285714286</v>
      </c>
    </row>
    <row r="19" spans="1:28" ht="12.75">
      <c r="A19" s="15" t="s">
        <v>24</v>
      </c>
      <c r="B19" s="11">
        <v>97</v>
      </c>
      <c r="C19" s="11">
        <v>97</v>
      </c>
      <c r="D19" s="13">
        <v>59</v>
      </c>
      <c r="E19" s="13">
        <v>59</v>
      </c>
      <c r="F19" s="42">
        <v>3</v>
      </c>
      <c r="G19" s="13">
        <v>56</v>
      </c>
      <c r="H19" s="101">
        <v>56</v>
      </c>
      <c r="I19" s="78">
        <v>6</v>
      </c>
      <c r="J19" s="62">
        <f t="shared" si="5"/>
        <v>10.714285714285714</v>
      </c>
      <c r="K19" s="61">
        <v>5</v>
      </c>
      <c r="L19" s="64">
        <f t="shared" si="0"/>
        <v>8.928571428571429</v>
      </c>
      <c r="M19" s="14">
        <v>1</v>
      </c>
      <c r="N19" s="21">
        <f t="shared" si="6"/>
        <v>1.7857142857142858</v>
      </c>
      <c r="O19" s="13">
        <v>2</v>
      </c>
      <c r="P19" s="23">
        <f t="shared" si="1"/>
        <v>3.5714285714285716</v>
      </c>
      <c r="Q19" s="13">
        <v>4</v>
      </c>
      <c r="R19" s="52">
        <f t="shared" si="7"/>
        <v>7.142857142857143</v>
      </c>
      <c r="S19" s="13">
        <v>8</v>
      </c>
      <c r="T19" s="23">
        <f t="shared" si="2"/>
        <v>14.285714285714286</v>
      </c>
      <c r="U19" s="11">
        <v>43</v>
      </c>
      <c r="V19" s="21">
        <f t="shared" si="8"/>
        <v>76.78571428571429</v>
      </c>
      <c r="W19" s="11">
        <v>39</v>
      </c>
      <c r="X19" s="23">
        <f t="shared" si="3"/>
        <v>69.64285714285714</v>
      </c>
      <c r="Y19" s="13">
        <v>2</v>
      </c>
      <c r="Z19" s="21">
        <f t="shared" si="9"/>
        <v>3.5714285714285716</v>
      </c>
      <c r="AA19" s="13">
        <v>2</v>
      </c>
      <c r="AB19" s="38">
        <f t="shared" si="4"/>
        <v>3.5714285714285716</v>
      </c>
    </row>
    <row r="20" spans="1:28" ht="12.75">
      <c r="A20" s="15" t="s">
        <v>25</v>
      </c>
      <c r="B20" s="11">
        <v>103</v>
      </c>
      <c r="C20" s="11">
        <v>90</v>
      </c>
      <c r="D20" s="13">
        <v>59</v>
      </c>
      <c r="E20" s="13">
        <v>46</v>
      </c>
      <c r="F20" s="42">
        <v>9</v>
      </c>
      <c r="G20" s="13">
        <v>50</v>
      </c>
      <c r="H20" s="101">
        <v>41</v>
      </c>
      <c r="I20" s="78">
        <v>2</v>
      </c>
      <c r="J20" s="62">
        <f t="shared" si="5"/>
        <v>4</v>
      </c>
      <c r="K20" s="61">
        <v>1</v>
      </c>
      <c r="L20" s="64">
        <f t="shared" si="0"/>
        <v>2.4390243902439024</v>
      </c>
      <c r="M20" s="14">
        <v>0</v>
      </c>
      <c r="N20" s="21">
        <f t="shared" si="6"/>
        <v>0</v>
      </c>
      <c r="O20" s="13">
        <v>2</v>
      </c>
      <c r="P20" s="23">
        <f t="shared" si="1"/>
        <v>4.878048780487805</v>
      </c>
      <c r="Q20" s="2">
        <v>9</v>
      </c>
      <c r="R20" s="52">
        <f t="shared" si="7"/>
        <v>18</v>
      </c>
      <c r="S20" s="88">
        <v>8</v>
      </c>
      <c r="T20" s="23">
        <f t="shared" si="2"/>
        <v>19.51219512195122</v>
      </c>
      <c r="U20" s="11">
        <v>37</v>
      </c>
      <c r="V20" s="21">
        <f t="shared" si="8"/>
        <v>74</v>
      </c>
      <c r="W20" s="11">
        <v>29</v>
      </c>
      <c r="X20" s="23">
        <f t="shared" si="3"/>
        <v>70.73170731707317</v>
      </c>
      <c r="Y20" s="13">
        <v>2</v>
      </c>
      <c r="Z20" s="21">
        <f t="shared" si="9"/>
        <v>4</v>
      </c>
      <c r="AA20" s="13">
        <v>1</v>
      </c>
      <c r="AB20" s="38">
        <f t="shared" si="4"/>
        <v>2.4390243902439024</v>
      </c>
    </row>
    <row r="21" spans="1:28" ht="12.75">
      <c r="A21" s="15" t="s">
        <v>26</v>
      </c>
      <c r="B21" s="11">
        <v>58</v>
      </c>
      <c r="C21" s="11">
        <v>50</v>
      </c>
      <c r="D21" s="13">
        <v>36</v>
      </c>
      <c r="E21" s="13">
        <v>25</v>
      </c>
      <c r="F21" s="42">
        <v>1</v>
      </c>
      <c r="G21" s="13">
        <v>35</v>
      </c>
      <c r="H21" s="101">
        <v>22</v>
      </c>
      <c r="I21" s="78">
        <v>2</v>
      </c>
      <c r="J21" s="62">
        <f t="shared" si="5"/>
        <v>5.714285714285714</v>
      </c>
      <c r="K21" s="61">
        <v>1</v>
      </c>
      <c r="L21" s="64">
        <f t="shared" si="0"/>
        <v>4.545454545454546</v>
      </c>
      <c r="M21" s="14">
        <v>1</v>
      </c>
      <c r="N21" s="21">
        <f t="shared" si="6"/>
        <v>2.857142857142857</v>
      </c>
      <c r="O21" s="13">
        <v>0</v>
      </c>
      <c r="P21" s="23">
        <f t="shared" si="1"/>
        <v>0</v>
      </c>
      <c r="Q21" s="13">
        <v>7</v>
      </c>
      <c r="R21" s="52">
        <f t="shared" si="7"/>
        <v>20</v>
      </c>
      <c r="S21" s="13">
        <v>5</v>
      </c>
      <c r="T21" s="23">
        <f t="shared" si="2"/>
        <v>22.727272727272727</v>
      </c>
      <c r="U21" s="11">
        <v>23</v>
      </c>
      <c r="V21" s="21">
        <f t="shared" si="8"/>
        <v>65.71428571428571</v>
      </c>
      <c r="W21" s="11">
        <v>16</v>
      </c>
      <c r="X21" s="23">
        <f t="shared" si="3"/>
        <v>72.72727272727273</v>
      </c>
      <c r="Y21" s="13">
        <v>2</v>
      </c>
      <c r="Z21" s="21">
        <f t="shared" si="9"/>
        <v>5.714285714285714</v>
      </c>
      <c r="AA21" s="13">
        <v>0</v>
      </c>
      <c r="AB21" s="38">
        <f t="shared" si="4"/>
        <v>0</v>
      </c>
    </row>
    <row r="22" spans="1:28" ht="12.75">
      <c r="A22" s="15" t="s">
        <v>27</v>
      </c>
      <c r="B22" s="11">
        <v>42</v>
      </c>
      <c r="C22" s="11">
        <v>38</v>
      </c>
      <c r="D22" s="13">
        <v>25</v>
      </c>
      <c r="E22" s="13">
        <v>24</v>
      </c>
      <c r="F22" s="42">
        <v>1</v>
      </c>
      <c r="G22" s="13">
        <v>24</v>
      </c>
      <c r="H22" s="101">
        <v>23</v>
      </c>
      <c r="I22" s="78">
        <v>2</v>
      </c>
      <c r="J22" s="62">
        <f t="shared" si="5"/>
        <v>8.333333333333334</v>
      </c>
      <c r="K22" s="61">
        <v>3</v>
      </c>
      <c r="L22" s="64">
        <f t="shared" si="0"/>
        <v>13.043478260869565</v>
      </c>
      <c r="M22" s="14">
        <v>0</v>
      </c>
      <c r="N22" s="21">
        <f t="shared" si="6"/>
        <v>0</v>
      </c>
      <c r="O22" s="13">
        <v>0</v>
      </c>
      <c r="P22" s="23">
        <f t="shared" si="1"/>
        <v>0</v>
      </c>
      <c r="Q22" s="13">
        <v>4</v>
      </c>
      <c r="R22" s="52">
        <f t="shared" si="7"/>
        <v>16.666666666666668</v>
      </c>
      <c r="S22" s="13">
        <v>1</v>
      </c>
      <c r="T22" s="23">
        <f t="shared" si="2"/>
        <v>4.3478260869565215</v>
      </c>
      <c r="U22" s="11">
        <v>17</v>
      </c>
      <c r="V22" s="21">
        <f t="shared" si="8"/>
        <v>70.83333333333333</v>
      </c>
      <c r="W22" s="11">
        <v>18</v>
      </c>
      <c r="X22" s="23">
        <f t="shared" si="3"/>
        <v>78.26086956521739</v>
      </c>
      <c r="Y22" s="13">
        <v>1</v>
      </c>
      <c r="Z22" s="21">
        <f t="shared" si="9"/>
        <v>4.166666666666667</v>
      </c>
      <c r="AA22" s="13">
        <v>1</v>
      </c>
      <c r="AB22" s="38">
        <f t="shared" si="4"/>
        <v>4.3478260869565215</v>
      </c>
    </row>
    <row r="23" spans="1:28" ht="12.75">
      <c r="A23" s="15" t="s">
        <v>28</v>
      </c>
      <c r="B23" s="11">
        <v>33</v>
      </c>
      <c r="C23" s="11">
        <v>29</v>
      </c>
      <c r="D23" s="13">
        <v>14</v>
      </c>
      <c r="E23" s="13">
        <v>10</v>
      </c>
      <c r="F23" s="42">
        <v>1</v>
      </c>
      <c r="G23" s="13">
        <v>13</v>
      </c>
      <c r="H23" s="101">
        <v>10</v>
      </c>
      <c r="I23" s="78">
        <v>0</v>
      </c>
      <c r="J23" s="62">
        <f t="shared" si="5"/>
        <v>0</v>
      </c>
      <c r="K23" s="61">
        <v>1</v>
      </c>
      <c r="L23" s="64">
        <f t="shared" si="0"/>
        <v>10</v>
      </c>
      <c r="M23" s="14">
        <v>0</v>
      </c>
      <c r="N23" s="21">
        <f t="shared" si="6"/>
        <v>0</v>
      </c>
      <c r="O23" s="13">
        <v>0</v>
      </c>
      <c r="P23" s="23">
        <f t="shared" si="1"/>
        <v>0</v>
      </c>
      <c r="Q23" s="13">
        <v>2</v>
      </c>
      <c r="R23" s="52">
        <f>((Q23*100)/G23)</f>
        <v>15.384615384615385</v>
      </c>
      <c r="S23" s="13">
        <v>2</v>
      </c>
      <c r="T23" s="23">
        <f t="shared" si="2"/>
        <v>20</v>
      </c>
      <c r="U23" s="11">
        <v>10</v>
      </c>
      <c r="V23" s="21">
        <f t="shared" si="8"/>
        <v>76.92307692307692</v>
      </c>
      <c r="W23" s="11">
        <v>6</v>
      </c>
      <c r="X23" s="23">
        <f t="shared" si="3"/>
        <v>60</v>
      </c>
      <c r="Y23" s="13">
        <v>1</v>
      </c>
      <c r="Z23" s="21">
        <f t="shared" si="9"/>
        <v>7.6923076923076925</v>
      </c>
      <c r="AA23" s="13">
        <v>1</v>
      </c>
      <c r="AB23" s="38">
        <f t="shared" si="4"/>
        <v>10</v>
      </c>
    </row>
    <row r="24" spans="1:28" ht="12.75">
      <c r="A24" s="15" t="s">
        <v>29</v>
      </c>
      <c r="B24" s="11">
        <v>482</v>
      </c>
      <c r="C24" s="11">
        <v>471</v>
      </c>
      <c r="D24" s="13">
        <v>238</v>
      </c>
      <c r="E24" s="13">
        <v>216</v>
      </c>
      <c r="F24" s="42">
        <v>3</v>
      </c>
      <c r="G24" s="13">
        <v>235</v>
      </c>
      <c r="H24" s="101">
        <v>213</v>
      </c>
      <c r="I24" s="78">
        <v>51</v>
      </c>
      <c r="J24" s="62">
        <f t="shared" si="5"/>
        <v>21.70212765957447</v>
      </c>
      <c r="K24" s="61">
        <v>39</v>
      </c>
      <c r="L24" s="64">
        <f t="shared" si="0"/>
        <v>18.309859154929576</v>
      </c>
      <c r="M24" s="14">
        <v>19</v>
      </c>
      <c r="N24" s="21">
        <f t="shared" si="6"/>
        <v>8.085106382978724</v>
      </c>
      <c r="O24" s="13">
        <v>20</v>
      </c>
      <c r="P24" s="23">
        <f t="shared" si="1"/>
        <v>9.389671361502348</v>
      </c>
      <c r="Q24" s="13">
        <v>48</v>
      </c>
      <c r="R24" s="52">
        <f>((Q24*100)/G24)</f>
        <v>20.425531914893618</v>
      </c>
      <c r="S24" s="13">
        <v>51</v>
      </c>
      <c r="T24" s="23">
        <f t="shared" si="2"/>
        <v>23.943661971830984</v>
      </c>
      <c r="U24" s="11">
        <v>104</v>
      </c>
      <c r="V24" s="21">
        <f t="shared" si="8"/>
        <v>44.255319148936174</v>
      </c>
      <c r="W24" s="11">
        <v>83</v>
      </c>
      <c r="X24" s="23">
        <f t="shared" si="3"/>
        <v>38.967136150234744</v>
      </c>
      <c r="Y24" s="13">
        <v>13</v>
      </c>
      <c r="Z24" s="21">
        <f t="shared" si="9"/>
        <v>5.531914893617022</v>
      </c>
      <c r="AA24" s="13">
        <v>10</v>
      </c>
      <c r="AB24" s="38">
        <f t="shared" si="4"/>
        <v>4.694835680751174</v>
      </c>
    </row>
    <row r="25" spans="1:28" ht="12.75">
      <c r="A25" s="15" t="s">
        <v>30</v>
      </c>
      <c r="B25" s="11">
        <v>50</v>
      </c>
      <c r="C25" s="11">
        <v>37</v>
      </c>
      <c r="D25" s="13">
        <v>26</v>
      </c>
      <c r="E25" s="13">
        <v>21</v>
      </c>
      <c r="F25" s="42">
        <v>1</v>
      </c>
      <c r="G25" s="13">
        <v>25</v>
      </c>
      <c r="H25" s="101">
        <v>21</v>
      </c>
      <c r="I25" s="78">
        <v>5</v>
      </c>
      <c r="J25" s="62">
        <f t="shared" si="5"/>
        <v>20</v>
      </c>
      <c r="K25" s="61">
        <v>2</v>
      </c>
      <c r="L25" s="64">
        <f t="shared" si="0"/>
        <v>9.523809523809524</v>
      </c>
      <c r="M25" s="14">
        <v>1</v>
      </c>
      <c r="N25" s="21">
        <f t="shared" si="6"/>
        <v>4</v>
      </c>
      <c r="O25" s="13">
        <v>1</v>
      </c>
      <c r="P25" s="23">
        <f t="shared" si="1"/>
        <v>4.761904761904762</v>
      </c>
      <c r="Q25" s="13">
        <v>6</v>
      </c>
      <c r="R25" s="52">
        <f>((Q25*100)/G25)</f>
        <v>24</v>
      </c>
      <c r="S25" s="13">
        <v>4</v>
      </c>
      <c r="T25" s="23">
        <f t="shared" si="2"/>
        <v>19.047619047619047</v>
      </c>
      <c r="U25" s="11">
        <v>10</v>
      </c>
      <c r="V25" s="21">
        <f t="shared" si="8"/>
        <v>40</v>
      </c>
      <c r="W25" s="11">
        <v>9</v>
      </c>
      <c r="X25" s="23">
        <f t="shared" si="3"/>
        <v>42.857142857142854</v>
      </c>
      <c r="Y25" s="13">
        <v>3</v>
      </c>
      <c r="Z25" s="21">
        <f t="shared" si="9"/>
        <v>12</v>
      </c>
      <c r="AA25" s="13">
        <v>5</v>
      </c>
      <c r="AB25" s="38">
        <f t="shared" si="4"/>
        <v>23.80952380952381</v>
      </c>
    </row>
    <row r="26" spans="1:28" ht="12.75">
      <c r="A26" s="15" t="s">
        <v>31</v>
      </c>
      <c r="B26" s="11">
        <v>30</v>
      </c>
      <c r="C26" s="11">
        <v>25</v>
      </c>
      <c r="D26" s="13">
        <v>22</v>
      </c>
      <c r="E26" s="13">
        <v>18</v>
      </c>
      <c r="F26" s="42">
        <v>0</v>
      </c>
      <c r="G26" s="13">
        <v>22</v>
      </c>
      <c r="H26" s="101">
        <v>17</v>
      </c>
      <c r="I26" s="78">
        <v>4</v>
      </c>
      <c r="J26" s="62">
        <f t="shared" si="5"/>
        <v>18.181818181818183</v>
      </c>
      <c r="K26" s="61">
        <v>1</v>
      </c>
      <c r="L26" s="64">
        <f t="shared" si="0"/>
        <v>5.882352941176471</v>
      </c>
      <c r="M26" s="14">
        <v>0</v>
      </c>
      <c r="N26" s="21">
        <f t="shared" si="6"/>
        <v>0</v>
      </c>
      <c r="O26" s="13">
        <v>1</v>
      </c>
      <c r="P26" s="23">
        <f>IF(O26&gt;0,(O26*100)/H26,"")</f>
        <v>5.882352941176471</v>
      </c>
      <c r="Q26" s="13">
        <v>4</v>
      </c>
      <c r="R26" s="52">
        <f>((Q26*100)/G26)</f>
        <v>18.181818181818183</v>
      </c>
      <c r="S26" s="13">
        <v>2</v>
      </c>
      <c r="T26" s="23">
        <f>IF(S26&gt;0,(S26*100)/Q25,"")</f>
        <v>33.333333333333336</v>
      </c>
      <c r="U26" s="11">
        <v>12</v>
      </c>
      <c r="V26" s="21">
        <f t="shared" si="8"/>
        <v>54.54545454545455</v>
      </c>
      <c r="W26" s="11">
        <v>9</v>
      </c>
      <c r="X26" s="23">
        <f>IF(W26&gt;0,(W26*100)/U26,"")</f>
        <v>75</v>
      </c>
      <c r="Y26" s="13">
        <v>2</v>
      </c>
      <c r="Z26" s="21">
        <f t="shared" si="9"/>
        <v>9.090909090909092</v>
      </c>
      <c r="AA26" s="13">
        <v>4</v>
      </c>
      <c r="AB26" s="38">
        <f>IF(AA26&gt;0,(AA26*100)/Y26,"")</f>
        <v>200</v>
      </c>
    </row>
    <row r="27" spans="1:28" ht="12.75">
      <c r="A27" s="15" t="s">
        <v>32</v>
      </c>
      <c r="B27" s="11">
        <v>104</v>
      </c>
      <c r="C27" s="11">
        <v>95</v>
      </c>
      <c r="D27" s="13">
        <v>51</v>
      </c>
      <c r="E27" s="13">
        <v>47</v>
      </c>
      <c r="F27" s="42">
        <v>0</v>
      </c>
      <c r="G27" s="13">
        <v>51</v>
      </c>
      <c r="H27" s="101">
        <v>45</v>
      </c>
      <c r="I27" s="78">
        <v>10</v>
      </c>
      <c r="J27" s="62">
        <f t="shared" si="5"/>
        <v>19.607843137254903</v>
      </c>
      <c r="K27" s="61">
        <v>7</v>
      </c>
      <c r="L27" s="64">
        <f t="shared" si="0"/>
        <v>15.555555555555555</v>
      </c>
      <c r="M27" s="14">
        <v>5</v>
      </c>
      <c r="N27" s="21">
        <f t="shared" si="6"/>
        <v>9.803921568627452</v>
      </c>
      <c r="O27" s="13">
        <v>6</v>
      </c>
      <c r="P27" s="23">
        <f t="shared" si="1"/>
        <v>13.333333333333334</v>
      </c>
      <c r="Q27" s="2">
        <v>11</v>
      </c>
      <c r="R27" s="52">
        <f>((Q27*100)/G27)</f>
        <v>21.568627450980394</v>
      </c>
      <c r="S27" s="88">
        <v>6</v>
      </c>
      <c r="T27" s="23">
        <f t="shared" si="2"/>
        <v>13.333333333333334</v>
      </c>
      <c r="U27" s="11">
        <v>22</v>
      </c>
      <c r="V27" s="21">
        <f t="shared" si="8"/>
        <v>43.13725490196079</v>
      </c>
      <c r="W27" s="11">
        <v>23</v>
      </c>
      <c r="X27" s="23">
        <f t="shared" si="3"/>
        <v>51.111111111111114</v>
      </c>
      <c r="Y27" s="13">
        <v>3</v>
      </c>
      <c r="Z27" s="21">
        <f t="shared" si="9"/>
        <v>5.882352941176471</v>
      </c>
      <c r="AA27" s="13">
        <v>3</v>
      </c>
      <c r="AB27" s="38">
        <f t="shared" si="4"/>
        <v>6.666666666666667</v>
      </c>
    </row>
    <row r="28" spans="1:28" ht="12.75">
      <c r="A28" s="15" t="s">
        <v>53</v>
      </c>
      <c r="B28" s="11">
        <v>14</v>
      </c>
      <c r="C28" s="11">
        <v>12</v>
      </c>
      <c r="D28" s="13">
        <v>7</v>
      </c>
      <c r="E28" s="13">
        <v>7</v>
      </c>
      <c r="F28" s="42">
        <v>1</v>
      </c>
      <c r="G28" s="13">
        <v>6</v>
      </c>
      <c r="H28" s="101">
        <v>7</v>
      </c>
      <c r="I28" s="78">
        <v>0</v>
      </c>
      <c r="J28" s="62">
        <f>IF(I28&gt;0,(I28*100)/G28,"")</f>
      </c>
      <c r="K28" s="61">
        <v>0</v>
      </c>
      <c r="L28" s="64">
        <f t="shared" si="0"/>
        <v>0</v>
      </c>
      <c r="M28" s="14">
        <v>0</v>
      </c>
      <c r="N28" s="21">
        <f>IF(M28&gt;0,(M28*100)/K28,"")</f>
      </c>
      <c r="O28" s="13">
        <v>1</v>
      </c>
      <c r="P28" s="23">
        <f>IF(O28&gt;0,(O28*100)/H28,"")</f>
        <v>14.285714285714286</v>
      </c>
      <c r="Q28" s="13">
        <v>0</v>
      </c>
      <c r="R28" s="52">
        <f>IF(Q28&gt;0,(Q28*100)/O28,"")</f>
      </c>
      <c r="S28" s="13">
        <v>0</v>
      </c>
      <c r="T28" s="23">
        <f>IF(S28&gt;0,(S28*100)/Q28,"")</f>
      </c>
      <c r="U28" s="11">
        <v>5</v>
      </c>
      <c r="V28" s="21">
        <f>IF(U28&gt;0,(U28*100)/G28,"")</f>
        <v>83.33333333333333</v>
      </c>
      <c r="W28" s="11">
        <v>4</v>
      </c>
      <c r="X28" s="23">
        <f>IF(W28&gt;0,(W28*100)/H28,"")</f>
        <v>57.142857142857146</v>
      </c>
      <c r="Y28" s="13">
        <v>1</v>
      </c>
      <c r="Z28" s="21">
        <f>IF(Y28&gt;0,(Y28*100)/W28,"")</f>
        <v>25</v>
      </c>
      <c r="AA28" s="13">
        <v>2</v>
      </c>
      <c r="AB28" s="38">
        <f>IF(AA28&gt;0,(AA28*100)/Y28,"")</f>
        <v>200</v>
      </c>
    </row>
    <row r="29" spans="1:28" ht="12.75">
      <c r="A29" s="15" t="s">
        <v>34</v>
      </c>
      <c r="B29" s="11">
        <v>35</v>
      </c>
      <c r="C29" s="11">
        <v>27</v>
      </c>
      <c r="D29" s="13">
        <v>20</v>
      </c>
      <c r="E29" s="13">
        <v>19</v>
      </c>
      <c r="F29" s="42">
        <v>1</v>
      </c>
      <c r="G29" s="13">
        <v>19</v>
      </c>
      <c r="H29" s="101">
        <v>19</v>
      </c>
      <c r="I29" s="78">
        <v>0</v>
      </c>
      <c r="J29" s="62">
        <f>IF(I29&gt;0,(I29*100)/G29,"")</f>
      </c>
      <c r="K29" s="61">
        <v>0</v>
      </c>
      <c r="L29" s="64">
        <f t="shared" si="0"/>
        <v>0</v>
      </c>
      <c r="M29" s="14">
        <v>0</v>
      </c>
      <c r="N29" s="21">
        <f>IF(M29&gt;0,(M29*100)/K29,"")</f>
      </c>
      <c r="O29" s="13">
        <v>0</v>
      </c>
      <c r="P29" s="23">
        <f>IF(O29&gt;0,(O29*100)/M29,"")</f>
      </c>
      <c r="Q29" s="13">
        <v>0</v>
      </c>
      <c r="R29" s="52">
        <f>IF(Q29&gt;0,(Q29*100)/O29,"")</f>
      </c>
      <c r="S29" s="13">
        <v>2</v>
      </c>
      <c r="T29" s="23">
        <f>IF(S29&gt;0,(S29*100)/H29,"")</f>
        <v>10.526315789473685</v>
      </c>
      <c r="U29" s="11">
        <v>7</v>
      </c>
      <c r="V29" s="21">
        <f>IF(U29&gt;0,(U29*100)/G29,"")</f>
        <v>36.8421052631579</v>
      </c>
      <c r="W29" s="11">
        <v>12</v>
      </c>
      <c r="X29" s="23">
        <f>IF(W29&gt;0,(W29*100)/H29,"")</f>
        <v>63.1578947368421</v>
      </c>
      <c r="Y29" s="13">
        <v>12</v>
      </c>
      <c r="Z29" s="21">
        <f>IF(Y29&gt;0,(Y29*100)/G29,"")</f>
        <v>63.1578947368421</v>
      </c>
      <c r="AA29" s="13">
        <v>5</v>
      </c>
      <c r="AB29" s="38">
        <f>IF(AA29&gt;0,(AA29*100)/H29,"")</f>
        <v>26.31578947368421</v>
      </c>
    </row>
    <row r="30" spans="1:28" ht="12.75">
      <c r="A30" s="15" t="s">
        <v>35</v>
      </c>
      <c r="B30" s="11">
        <v>68</v>
      </c>
      <c r="C30" s="11">
        <v>58</v>
      </c>
      <c r="D30" s="13">
        <v>32</v>
      </c>
      <c r="E30" s="13">
        <v>36</v>
      </c>
      <c r="F30" s="42">
        <v>1</v>
      </c>
      <c r="G30" s="13">
        <v>31</v>
      </c>
      <c r="H30" s="101">
        <v>36</v>
      </c>
      <c r="I30" s="78">
        <v>2</v>
      </c>
      <c r="J30" s="62">
        <f t="shared" si="5"/>
        <v>6.451612903225806</v>
      </c>
      <c r="K30" s="61">
        <v>3</v>
      </c>
      <c r="L30" s="64">
        <f t="shared" si="0"/>
        <v>8.333333333333334</v>
      </c>
      <c r="M30" s="14">
        <v>1</v>
      </c>
      <c r="N30" s="21">
        <f t="shared" si="6"/>
        <v>3.225806451612903</v>
      </c>
      <c r="O30" s="13">
        <v>3</v>
      </c>
      <c r="P30" s="23">
        <f t="shared" si="1"/>
        <v>8.333333333333334</v>
      </c>
      <c r="Q30" s="13">
        <v>10</v>
      </c>
      <c r="R30" s="52">
        <f t="shared" si="7"/>
        <v>32.25806451612903</v>
      </c>
      <c r="S30" s="13">
        <v>9</v>
      </c>
      <c r="T30" s="23">
        <f t="shared" si="2"/>
        <v>25</v>
      </c>
      <c r="U30" s="11">
        <v>17</v>
      </c>
      <c r="V30" s="21">
        <f t="shared" si="8"/>
        <v>54.83870967741935</v>
      </c>
      <c r="W30" s="11">
        <v>21</v>
      </c>
      <c r="X30" s="23">
        <f t="shared" si="3"/>
        <v>58.333333333333336</v>
      </c>
      <c r="Y30" s="13">
        <v>1</v>
      </c>
      <c r="Z30" s="21">
        <f>((Y30*100)/G30)</f>
        <v>3.225806451612903</v>
      </c>
      <c r="AA30" s="13">
        <v>0</v>
      </c>
      <c r="AB30" s="38">
        <f t="shared" si="4"/>
        <v>0</v>
      </c>
    </row>
    <row r="31" spans="1:28" ht="12.75">
      <c r="A31" s="15" t="s">
        <v>36</v>
      </c>
      <c r="B31" s="11">
        <v>124</v>
      </c>
      <c r="C31" s="11">
        <v>112</v>
      </c>
      <c r="D31" s="13">
        <v>59</v>
      </c>
      <c r="E31" s="13">
        <v>50</v>
      </c>
      <c r="F31" s="42">
        <v>5</v>
      </c>
      <c r="G31" s="13">
        <v>54</v>
      </c>
      <c r="H31" s="101">
        <v>48</v>
      </c>
      <c r="I31" s="78">
        <v>5</v>
      </c>
      <c r="J31" s="62">
        <f t="shared" si="5"/>
        <v>9.25925925925926</v>
      </c>
      <c r="K31" s="61">
        <v>8</v>
      </c>
      <c r="L31" s="64">
        <f t="shared" si="0"/>
        <v>16.666666666666668</v>
      </c>
      <c r="M31" s="14">
        <v>6</v>
      </c>
      <c r="N31" s="21">
        <f t="shared" si="6"/>
        <v>11.11111111111111</v>
      </c>
      <c r="O31" s="13">
        <v>2</v>
      </c>
      <c r="P31" s="23">
        <f t="shared" si="1"/>
        <v>4.166666666666667</v>
      </c>
      <c r="Q31" s="13">
        <v>15</v>
      </c>
      <c r="R31" s="52">
        <f t="shared" si="7"/>
        <v>27.77777777777778</v>
      </c>
      <c r="S31" s="13">
        <v>18</v>
      </c>
      <c r="T31" s="23">
        <f t="shared" si="2"/>
        <v>37.5</v>
      </c>
      <c r="U31" s="11">
        <v>26</v>
      </c>
      <c r="V31" s="21">
        <f t="shared" si="8"/>
        <v>48.148148148148145</v>
      </c>
      <c r="W31" s="11">
        <v>19</v>
      </c>
      <c r="X31" s="23">
        <f t="shared" si="3"/>
        <v>39.583333333333336</v>
      </c>
      <c r="Y31" s="13">
        <v>2</v>
      </c>
      <c r="Z31" s="21">
        <f t="shared" si="9"/>
        <v>3.7037037037037037</v>
      </c>
      <c r="AA31" s="13">
        <v>1</v>
      </c>
      <c r="AB31" s="38">
        <f t="shared" si="4"/>
        <v>2.0833333333333335</v>
      </c>
    </row>
    <row r="32" spans="1:28" ht="12.75">
      <c r="A32" s="15" t="s">
        <v>37</v>
      </c>
      <c r="B32" s="11">
        <v>117</v>
      </c>
      <c r="C32" s="11">
        <v>93</v>
      </c>
      <c r="D32" s="13">
        <v>62</v>
      </c>
      <c r="E32" s="13">
        <v>43</v>
      </c>
      <c r="F32" s="42">
        <v>3</v>
      </c>
      <c r="G32" s="13">
        <v>59</v>
      </c>
      <c r="H32" s="101">
        <v>42</v>
      </c>
      <c r="I32" s="78">
        <v>2</v>
      </c>
      <c r="J32" s="62">
        <f t="shared" si="5"/>
        <v>3.389830508474576</v>
      </c>
      <c r="K32" s="61">
        <v>1</v>
      </c>
      <c r="L32" s="64">
        <f t="shared" si="0"/>
        <v>2.380952380952381</v>
      </c>
      <c r="M32" s="14">
        <v>3</v>
      </c>
      <c r="N32" s="21">
        <f t="shared" si="6"/>
        <v>5.084745762711864</v>
      </c>
      <c r="O32" s="13">
        <v>0</v>
      </c>
      <c r="P32" s="23">
        <f t="shared" si="1"/>
        <v>0</v>
      </c>
      <c r="Q32" s="13">
        <v>10</v>
      </c>
      <c r="R32" s="52">
        <f t="shared" si="7"/>
        <v>16.949152542372882</v>
      </c>
      <c r="S32" s="13">
        <v>9</v>
      </c>
      <c r="T32" s="23">
        <f t="shared" si="2"/>
        <v>21.428571428571427</v>
      </c>
      <c r="U32" s="11">
        <v>35</v>
      </c>
      <c r="V32" s="21">
        <f t="shared" si="8"/>
        <v>59.32203389830509</v>
      </c>
      <c r="W32" s="11">
        <v>29</v>
      </c>
      <c r="X32" s="23">
        <f t="shared" si="3"/>
        <v>69.04761904761905</v>
      </c>
      <c r="Y32" s="13">
        <v>9</v>
      </c>
      <c r="Z32" s="21">
        <f t="shared" si="9"/>
        <v>15.254237288135593</v>
      </c>
      <c r="AA32" s="13">
        <v>3</v>
      </c>
      <c r="AB32" s="38">
        <f t="shared" si="4"/>
        <v>7.142857142857143</v>
      </c>
    </row>
    <row r="33" spans="1:28" ht="12.75">
      <c r="A33" s="15" t="s">
        <v>49</v>
      </c>
      <c r="B33" s="11">
        <v>23</v>
      </c>
      <c r="C33" s="11">
        <v>16</v>
      </c>
      <c r="D33" s="13">
        <v>16</v>
      </c>
      <c r="E33" s="13">
        <v>0</v>
      </c>
      <c r="F33" s="42"/>
      <c r="G33" s="13">
        <v>16</v>
      </c>
      <c r="H33" s="101"/>
      <c r="I33" s="78">
        <v>1</v>
      </c>
      <c r="J33" s="62">
        <f t="shared" si="5"/>
        <v>6.25</v>
      </c>
      <c r="K33" s="61"/>
      <c r="L33" s="64"/>
      <c r="M33" s="14">
        <v>1</v>
      </c>
      <c r="N33" s="21">
        <f t="shared" si="6"/>
        <v>6.25</v>
      </c>
      <c r="O33" s="14"/>
      <c r="P33" s="23"/>
      <c r="Q33" s="14">
        <v>3</v>
      </c>
      <c r="R33" s="52">
        <f t="shared" si="7"/>
        <v>18.75</v>
      </c>
      <c r="S33" s="13"/>
      <c r="T33" s="23"/>
      <c r="U33" s="11">
        <v>10</v>
      </c>
      <c r="V33" s="21">
        <f t="shared" si="8"/>
        <v>62.5</v>
      </c>
      <c r="W33" s="11"/>
      <c r="X33" s="23"/>
      <c r="Y33" s="13">
        <v>1</v>
      </c>
      <c r="Z33" s="21">
        <f t="shared" si="9"/>
        <v>6.25</v>
      </c>
      <c r="AA33" s="13"/>
      <c r="AB33" s="38"/>
    </row>
    <row r="34" spans="1:28" ht="12.75">
      <c r="A34" s="15" t="s">
        <v>50</v>
      </c>
      <c r="B34" s="11">
        <v>12</v>
      </c>
      <c r="C34" s="11">
        <v>10</v>
      </c>
      <c r="D34" s="13">
        <v>5</v>
      </c>
      <c r="E34" s="13">
        <v>5</v>
      </c>
      <c r="F34" s="42">
        <v>0</v>
      </c>
      <c r="G34" s="13">
        <v>5</v>
      </c>
      <c r="H34" s="101">
        <v>5</v>
      </c>
      <c r="I34" s="78">
        <v>0</v>
      </c>
      <c r="J34" s="62"/>
      <c r="K34" s="61">
        <v>0</v>
      </c>
      <c r="L34" s="64">
        <f t="shared" si="0"/>
        <v>0</v>
      </c>
      <c r="M34" s="14">
        <v>0</v>
      </c>
      <c r="N34" s="21"/>
      <c r="O34" s="14">
        <v>0</v>
      </c>
      <c r="P34" s="23"/>
      <c r="Q34" s="14">
        <v>1</v>
      </c>
      <c r="R34" s="52">
        <f t="shared" si="7"/>
        <v>20</v>
      </c>
      <c r="S34" s="13">
        <v>1</v>
      </c>
      <c r="T34" s="23">
        <f t="shared" si="2"/>
        <v>20</v>
      </c>
      <c r="U34" s="11">
        <v>4</v>
      </c>
      <c r="V34" s="21">
        <f t="shared" si="8"/>
        <v>80</v>
      </c>
      <c r="W34" s="11">
        <v>4</v>
      </c>
      <c r="X34" s="23">
        <f t="shared" si="3"/>
        <v>80</v>
      </c>
      <c r="Y34" s="13">
        <v>0</v>
      </c>
      <c r="Z34" s="21">
        <f t="shared" si="9"/>
        <v>0</v>
      </c>
      <c r="AA34" s="13">
        <v>0</v>
      </c>
      <c r="AB34" s="38"/>
    </row>
    <row r="35" spans="1:28" ht="12.75">
      <c r="A35" s="15" t="s">
        <v>71</v>
      </c>
      <c r="B35" s="11"/>
      <c r="C35" s="11"/>
      <c r="D35" s="13"/>
      <c r="E35" s="13"/>
      <c r="F35" s="42"/>
      <c r="G35" s="13"/>
      <c r="H35" s="101"/>
      <c r="I35" s="78"/>
      <c r="J35" s="62"/>
      <c r="K35" s="61"/>
      <c r="L35" s="64"/>
      <c r="M35" s="14"/>
      <c r="N35" s="21"/>
      <c r="O35" s="14"/>
      <c r="P35" s="23"/>
      <c r="Q35" s="14"/>
      <c r="R35" s="52"/>
      <c r="S35" s="13"/>
      <c r="T35" s="23"/>
      <c r="U35" s="11"/>
      <c r="V35" s="21"/>
      <c r="W35" s="11"/>
      <c r="X35" s="23"/>
      <c r="Y35" s="13"/>
      <c r="Z35" s="21"/>
      <c r="AA35" s="13"/>
      <c r="AB35" s="38"/>
    </row>
    <row r="36" spans="1:28" ht="12.75">
      <c r="A36" s="15" t="s">
        <v>38</v>
      </c>
      <c r="B36" s="11"/>
      <c r="C36" s="11">
        <v>27</v>
      </c>
      <c r="D36" s="13"/>
      <c r="E36" s="13">
        <v>21</v>
      </c>
      <c r="F36" s="42"/>
      <c r="G36" s="13"/>
      <c r="H36" s="101">
        <v>16</v>
      </c>
      <c r="I36" s="78"/>
      <c r="J36" s="62"/>
      <c r="K36" s="61">
        <v>1</v>
      </c>
      <c r="L36" s="64">
        <f t="shared" si="0"/>
        <v>6.25</v>
      </c>
      <c r="M36" s="14"/>
      <c r="N36" s="21"/>
      <c r="O36" s="13">
        <v>1</v>
      </c>
      <c r="P36" s="23">
        <f t="shared" si="1"/>
        <v>6.25</v>
      </c>
      <c r="Q36" s="13"/>
      <c r="R36" s="52"/>
      <c r="S36" s="13">
        <v>3</v>
      </c>
      <c r="T36" s="23">
        <f t="shared" si="2"/>
        <v>18.75</v>
      </c>
      <c r="U36" s="11"/>
      <c r="V36" s="21"/>
      <c r="W36" s="11">
        <v>9</v>
      </c>
      <c r="X36" s="23">
        <f t="shared" si="3"/>
        <v>56.25</v>
      </c>
      <c r="Y36" s="13"/>
      <c r="Z36" s="21"/>
      <c r="AA36" s="13">
        <v>2</v>
      </c>
      <c r="AB36" s="38">
        <f t="shared" si="4"/>
        <v>12.5</v>
      </c>
    </row>
    <row r="37" spans="1:28" ht="12.75">
      <c r="A37" s="16" t="s">
        <v>51</v>
      </c>
      <c r="B37" s="11"/>
      <c r="C37" s="11"/>
      <c r="D37" s="13"/>
      <c r="E37" s="13"/>
      <c r="F37" s="42"/>
      <c r="G37" s="13"/>
      <c r="H37" s="101"/>
      <c r="I37" s="78"/>
      <c r="J37" s="62">
        <f>IF(I37&gt;0,(I37*100)/G37,"")</f>
      </c>
      <c r="K37" s="61"/>
      <c r="L37" s="64"/>
      <c r="M37" s="14"/>
      <c r="N37" s="21">
        <f>IF(M37&gt;0,(M37*100)/K37,"")</f>
      </c>
      <c r="O37" s="13"/>
      <c r="P37" s="23">
        <f>IF(O37&gt;0,(O37*100)/M37,"")</f>
      </c>
      <c r="Q37" s="13"/>
      <c r="R37" s="52">
        <f>IF(Q37&gt;0,(Q37*100)/O37,"")</f>
      </c>
      <c r="S37" s="13"/>
      <c r="T37" s="23">
        <f>IF(S37&gt;0,(S37*100)/Q37,"")</f>
      </c>
      <c r="U37" s="11"/>
      <c r="V37" s="21">
        <f>IF(U37&gt;0,(U37*100)/S37,"")</f>
      </c>
      <c r="W37" s="11"/>
      <c r="X37" s="23">
        <f>IF(W37&gt;0,(W37*100)/U37,"")</f>
      </c>
      <c r="Y37" s="13"/>
      <c r="Z37" s="21">
        <f>IF(Y37&gt;0,(Y37*100)/W37,"")</f>
      </c>
      <c r="AA37" s="13"/>
      <c r="AB37" s="38">
        <f>IF(AA37&gt;0,(AA37*100)/Y37,"")</f>
      </c>
    </row>
    <row r="38" spans="1:28" ht="12.75">
      <c r="A38" s="15" t="s">
        <v>52</v>
      </c>
      <c r="B38" s="11"/>
      <c r="C38" s="11"/>
      <c r="D38" s="13"/>
      <c r="E38" s="13"/>
      <c r="F38" s="42"/>
      <c r="G38" s="13"/>
      <c r="H38" s="101"/>
      <c r="I38" s="78"/>
      <c r="J38" s="62">
        <f>IF(I38&gt;0,(I38*100)/G38,"")</f>
      </c>
      <c r="K38" s="61"/>
      <c r="L38" s="64"/>
      <c r="M38" s="14"/>
      <c r="N38" s="21">
        <f>IF(M38&gt;0,(M38*100)/K38,"")</f>
      </c>
      <c r="O38" s="13"/>
      <c r="P38" s="23">
        <f>IF(O38&gt;0,(O38*100)/M38,"")</f>
      </c>
      <c r="Q38" s="13"/>
      <c r="R38" s="52">
        <f>IF(Q38&gt;0,(Q38*100)/O38,"")</f>
      </c>
      <c r="S38" s="13"/>
      <c r="T38" s="23">
        <f>IF(S38&gt;0,(S38*100)/Q38,"")</f>
      </c>
      <c r="U38" s="11"/>
      <c r="V38" s="21"/>
      <c r="W38" s="11"/>
      <c r="X38" s="23">
        <f>IF(W38&gt;0,(W38*100)/U38,"")</f>
      </c>
      <c r="Y38" s="13"/>
      <c r="Z38" s="21">
        <f>IF(Y38&gt;0,(Y38*100)/W38,"")</f>
      </c>
      <c r="AA38" s="13"/>
      <c r="AB38" s="38">
        <f>IF(AA38&gt;0,(AA38*100)/Y38,"")</f>
      </c>
    </row>
    <row r="39" spans="1:28" ht="13.5" thickBot="1">
      <c r="A39" s="16"/>
      <c r="B39" s="11"/>
      <c r="C39" s="11"/>
      <c r="D39" s="13"/>
      <c r="E39" s="13"/>
      <c r="F39" s="42"/>
      <c r="G39" s="13"/>
      <c r="H39" s="101"/>
      <c r="I39" s="80"/>
      <c r="J39" s="67">
        <f>IF(I39&gt;0,(I39*100)/G39,"")</f>
      </c>
      <c r="K39" s="66"/>
      <c r="L39" s="68"/>
      <c r="M39" s="103"/>
      <c r="N39" s="29">
        <f>IF(M39&gt;0,(M39*100)/K39,"")</f>
      </c>
      <c r="O39" s="26"/>
      <c r="P39" s="35">
        <f>IF(O39&gt;0,(O39*100)/M39,"")</f>
      </c>
      <c r="Q39" s="26"/>
      <c r="R39" s="53">
        <f>IF(Q39&gt;0,(Q39*100)/O39,"")</f>
      </c>
      <c r="S39" s="26"/>
      <c r="T39" s="35">
        <f>IF(S39&gt;0,(S39*100)/Q39,"")</f>
      </c>
      <c r="U39" s="25"/>
      <c r="V39" s="29">
        <f>IF(U39&gt;0,(U39*100)/S39,"")</f>
      </c>
      <c r="W39" s="25"/>
      <c r="X39" s="35">
        <f>IF(W39&gt;0,(W39*100)/U39,"")</f>
      </c>
      <c r="Y39" s="26"/>
      <c r="Z39" s="29">
        <f>IF(Y39&gt;0,(Y39*100)/W39,"")</f>
      </c>
      <c r="AA39" s="26"/>
      <c r="AB39" s="39">
        <f>IF(AA39&gt;0,(AA39*100)/Y39,"")</f>
      </c>
    </row>
    <row r="40" spans="1:28" ht="13.5" thickBot="1">
      <c r="A40" s="3" t="s">
        <v>39</v>
      </c>
      <c r="B40" s="18">
        <f>SUM(B6:B38)</f>
        <v>2245</v>
      </c>
      <c r="C40" s="18">
        <f>SUM(C6:C38)</f>
        <v>2016</v>
      </c>
      <c r="D40" s="33">
        <f aca="true" t="shared" si="10" ref="D40:I40">SUM(D6:D38)</f>
        <v>1218</v>
      </c>
      <c r="E40" s="33">
        <f t="shared" si="10"/>
        <v>1063</v>
      </c>
      <c r="F40" s="43">
        <f t="shared" si="10"/>
        <v>50</v>
      </c>
      <c r="G40" s="33">
        <f t="shared" si="10"/>
        <v>1168</v>
      </c>
      <c r="H40" s="102">
        <f t="shared" si="10"/>
        <v>1019</v>
      </c>
      <c r="I40" s="69">
        <f t="shared" si="10"/>
        <v>147</v>
      </c>
      <c r="J40" s="70">
        <f t="shared" si="5"/>
        <v>12.585616438356164</v>
      </c>
      <c r="K40" s="69">
        <f>SUM(K6:K38)</f>
        <v>117</v>
      </c>
      <c r="L40" s="72">
        <f t="shared" si="0"/>
        <v>11.481844946025515</v>
      </c>
      <c r="M40" s="104">
        <f>SUM(M6:M38)</f>
        <v>61</v>
      </c>
      <c r="N40" s="22">
        <f t="shared" si="6"/>
        <v>5.222602739726027</v>
      </c>
      <c r="O40" s="33">
        <f>SUM(O6:O38)</f>
        <v>63</v>
      </c>
      <c r="P40" s="36">
        <f t="shared" si="1"/>
        <v>6.182531894013739</v>
      </c>
      <c r="Q40" s="33">
        <f>SUM(Q6:Q38)</f>
        <v>245</v>
      </c>
      <c r="R40" s="100">
        <f t="shared" si="7"/>
        <v>20.976027397260275</v>
      </c>
      <c r="S40" s="33">
        <f>SUM(S6:S38)</f>
        <v>236</v>
      </c>
      <c r="T40" s="36">
        <f t="shared" si="2"/>
        <v>23.159960745829245</v>
      </c>
      <c r="U40" s="33">
        <f>SUM(U6:U38)</f>
        <v>627</v>
      </c>
      <c r="V40" s="22">
        <f t="shared" si="8"/>
        <v>53.68150684931507</v>
      </c>
      <c r="W40" s="33">
        <f>SUM(W6:W38)</f>
        <v>520</v>
      </c>
      <c r="X40" s="36">
        <f t="shared" si="3"/>
        <v>51.030421982335625</v>
      </c>
      <c r="Y40" s="33">
        <f>SUM(Y6:Y38)</f>
        <v>88</v>
      </c>
      <c r="Z40" s="22">
        <f t="shared" si="9"/>
        <v>7.534246575342466</v>
      </c>
      <c r="AA40" s="33">
        <f>SUM(AA6:AA38)</f>
        <v>73</v>
      </c>
      <c r="AB40" s="37">
        <f t="shared" si="4"/>
        <v>7.1638861629048085</v>
      </c>
    </row>
    <row r="43" ht="12.75">
      <c r="B43" t="s">
        <v>55</v>
      </c>
    </row>
  </sheetData>
  <mergeCells count="3">
    <mergeCell ref="B4:C4"/>
    <mergeCell ref="D4:E4"/>
    <mergeCell ref="G4:H4"/>
  </mergeCells>
  <printOptions/>
  <pageMargins left="0.3937007874015748" right="0.3937007874015748" top="0.5905511811023623" bottom="0.984251968503937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AH39"/>
  <sheetViews>
    <sheetView workbookViewId="0" topLeftCell="L9">
      <selection activeCell="AG32" sqref="AG32"/>
    </sheetView>
  </sheetViews>
  <sheetFormatPr defaultColWidth="11.421875" defaultRowHeight="12.75"/>
  <cols>
    <col min="1" max="1" width="10.7109375" style="0" bestFit="1" customWidth="1"/>
    <col min="2" max="3" width="5.28125" style="0" bestFit="1" customWidth="1"/>
    <col min="4" max="5" width="4.421875" style="0" bestFit="1" customWidth="1"/>
    <col min="6" max="6" width="4.8515625" style="0" bestFit="1" customWidth="1"/>
    <col min="7" max="9" width="4.421875" style="0" bestFit="1" customWidth="1"/>
    <col min="10" max="10" width="7.28125" style="0" bestFit="1" customWidth="1"/>
    <col min="11" max="11" width="4.421875" style="0" bestFit="1" customWidth="1"/>
    <col min="12" max="12" width="7.28125" style="0" bestFit="1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7.28125" style="0" bestFit="1" customWidth="1"/>
    <col min="19" max="19" width="4.421875" style="0" bestFit="1" customWidth="1"/>
    <col min="20" max="20" width="8.421875" style="0" customWidth="1"/>
    <col min="21" max="21" width="4.421875" style="0" bestFit="1" customWidth="1"/>
    <col min="22" max="22" width="8.140625" style="0" bestFit="1" customWidth="1"/>
    <col min="23" max="23" width="4.421875" style="0" bestFit="1" customWidth="1"/>
    <col min="24" max="24" width="7.28125" style="0" bestFit="1" customWidth="1"/>
    <col min="25" max="25" width="4.421875" style="0" bestFit="1" customWidth="1"/>
    <col min="26" max="26" width="7.28125" style="0" bestFit="1" customWidth="1"/>
    <col min="27" max="27" width="4.421875" style="0" bestFit="1" customWidth="1"/>
    <col min="28" max="28" width="7.28125" style="0" customWidth="1"/>
    <col min="29" max="29" width="4.421875" style="0" bestFit="1" customWidth="1"/>
    <col min="30" max="30" width="6.421875" style="0" bestFit="1" customWidth="1"/>
    <col min="31" max="31" width="4.421875" style="0" bestFit="1" customWidth="1"/>
    <col min="32" max="32" width="6.421875" style="0" bestFit="1" customWidth="1"/>
    <col min="33" max="33" width="4.421875" style="0" bestFit="1" customWidth="1"/>
    <col min="34" max="34" width="7.28125" style="0" bestFit="1" customWidth="1"/>
  </cols>
  <sheetData>
    <row r="1" spans="1:32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9"/>
      <c r="I4" s="56" t="s">
        <v>1</v>
      </c>
      <c r="J4" s="57"/>
      <c r="K4" s="57"/>
      <c r="L4" s="57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4"/>
      <c r="Y4" s="105" t="s">
        <v>4</v>
      </c>
      <c r="Z4" s="106"/>
      <c r="AA4" s="106"/>
      <c r="AB4" s="106"/>
      <c r="AC4" s="112" t="s">
        <v>66</v>
      </c>
      <c r="AD4" s="113"/>
      <c r="AE4" s="113"/>
      <c r="AF4" s="114"/>
      <c r="AG4" s="110" t="s">
        <v>69</v>
      </c>
      <c r="AH4" s="111"/>
    </row>
    <row r="5" spans="1:34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6">
        <v>2005</v>
      </c>
      <c r="I5" s="58">
        <v>2008</v>
      </c>
      <c r="J5" s="59" t="s">
        <v>9</v>
      </c>
      <c r="K5" s="59">
        <v>2005</v>
      </c>
      <c r="L5" s="60" t="s">
        <v>9</v>
      </c>
      <c r="M5" s="7">
        <v>2008</v>
      </c>
      <c r="N5" s="8" t="s">
        <v>9</v>
      </c>
      <c r="O5" s="8">
        <v>2005</v>
      </c>
      <c r="P5" s="9" t="s">
        <v>9</v>
      </c>
      <c r="Q5" s="7">
        <v>2008</v>
      </c>
      <c r="R5" s="8" t="s">
        <v>9</v>
      </c>
      <c r="S5" s="8">
        <v>2005</v>
      </c>
      <c r="T5" s="9" t="s">
        <v>9</v>
      </c>
      <c r="U5" s="8">
        <v>2008</v>
      </c>
      <c r="V5" s="8" t="s">
        <v>9</v>
      </c>
      <c r="W5" s="8">
        <v>2005</v>
      </c>
      <c r="X5" s="9" t="s">
        <v>9</v>
      </c>
      <c r="Y5" s="7">
        <v>2008</v>
      </c>
      <c r="Z5" s="8" t="s">
        <v>9</v>
      </c>
      <c r="AA5" s="8">
        <v>2005</v>
      </c>
      <c r="AB5" s="79" t="s">
        <v>9</v>
      </c>
      <c r="AC5" s="7">
        <v>2008</v>
      </c>
      <c r="AD5" s="51" t="s">
        <v>9</v>
      </c>
      <c r="AE5" s="7">
        <v>2005</v>
      </c>
      <c r="AF5" s="9" t="s">
        <v>9</v>
      </c>
      <c r="AG5" s="91">
        <v>2008</v>
      </c>
      <c r="AH5" s="92" t="s">
        <v>9</v>
      </c>
    </row>
    <row r="6" spans="1:34" ht="12.75">
      <c r="A6" s="10" t="s">
        <v>10</v>
      </c>
      <c r="B6" s="11">
        <v>881</v>
      </c>
      <c r="C6" s="34">
        <f>19+348+144+343</f>
        <v>854</v>
      </c>
      <c r="D6" s="13">
        <v>547</v>
      </c>
      <c r="E6" s="12">
        <f>231+83+189</f>
        <v>503</v>
      </c>
      <c r="F6" s="42">
        <v>27</v>
      </c>
      <c r="G6" s="13">
        <v>520</v>
      </c>
      <c r="H6" s="12">
        <f>217+75+178</f>
        <v>470</v>
      </c>
      <c r="I6" s="61">
        <v>197</v>
      </c>
      <c r="J6" s="62">
        <f aca="true" t="shared" si="0" ref="J6:J36">((I6*100)/G6)</f>
        <v>37.88461538461539</v>
      </c>
      <c r="K6" s="63">
        <v>163</v>
      </c>
      <c r="L6" s="64">
        <f>((K6*100)/H6)</f>
        <v>34.680851063829785</v>
      </c>
      <c r="M6" s="13">
        <v>55</v>
      </c>
      <c r="N6" s="21">
        <f>((M6*100)/G6)</f>
        <v>10.576923076923077</v>
      </c>
      <c r="O6" s="11">
        <v>73</v>
      </c>
      <c r="P6" s="23">
        <f>((O6*100)/H6)</f>
        <v>15.53191489361702</v>
      </c>
      <c r="Q6" s="13">
        <v>8</v>
      </c>
      <c r="R6" s="21">
        <f>((Q6*100)/G6)</f>
        <v>1.5384615384615385</v>
      </c>
      <c r="S6" s="11">
        <v>7</v>
      </c>
      <c r="T6" s="23">
        <f aca="true" t="shared" si="1" ref="T6:T39">((S6*100)/H6)</f>
        <v>1.4893617021276595</v>
      </c>
      <c r="U6" s="11">
        <v>218</v>
      </c>
      <c r="V6" s="21">
        <f>((U6*100)/G6)</f>
        <v>41.92307692307692</v>
      </c>
      <c r="W6" s="11">
        <v>195</v>
      </c>
      <c r="X6" s="23">
        <f>((W6*100)/H6)</f>
        <v>41.48936170212766</v>
      </c>
      <c r="Y6" s="13">
        <v>26</v>
      </c>
      <c r="Z6" s="21">
        <f>((Y6*100)/G6)</f>
        <v>5</v>
      </c>
      <c r="AA6" s="11">
        <v>32</v>
      </c>
      <c r="AB6" s="83">
        <f>((AA6*100)/H6)</f>
        <v>6.808510638297872</v>
      </c>
      <c r="AC6" s="28">
        <v>10</v>
      </c>
      <c r="AD6" s="90">
        <f aca="true" t="shared" si="2" ref="AD6:AD39">((AC6*100)/G6)</f>
        <v>1.9230769230769231</v>
      </c>
      <c r="AE6" s="87">
        <v>0</v>
      </c>
      <c r="AF6" s="81">
        <f>((AE6*100)/H6)</f>
        <v>0</v>
      </c>
      <c r="AG6" s="93">
        <v>6</v>
      </c>
      <c r="AH6" s="89">
        <f aca="true" t="shared" si="3" ref="AH6:AH39">((AG6*100)/G6)</f>
        <v>1.1538461538461537</v>
      </c>
    </row>
    <row r="7" spans="1:34" ht="12.75">
      <c r="A7" s="15" t="s">
        <v>11</v>
      </c>
      <c r="B7" s="11">
        <v>240</v>
      </c>
      <c r="C7" s="34">
        <f>120+35+85</f>
        <v>240</v>
      </c>
      <c r="D7" s="13">
        <v>125</v>
      </c>
      <c r="E7" s="12">
        <v>137</v>
      </c>
      <c r="F7" s="42">
        <v>13</v>
      </c>
      <c r="G7" s="13">
        <v>112</v>
      </c>
      <c r="H7" s="12">
        <v>122</v>
      </c>
      <c r="I7" s="61">
        <v>13</v>
      </c>
      <c r="J7" s="62">
        <f t="shared" si="0"/>
        <v>11.607142857142858</v>
      </c>
      <c r="K7" s="63">
        <v>23</v>
      </c>
      <c r="L7" s="64">
        <f aca="true" t="shared" si="4" ref="L7:L39">((K7*100)/H7)</f>
        <v>18.852459016393443</v>
      </c>
      <c r="M7" s="13">
        <v>5</v>
      </c>
      <c r="N7" s="21">
        <f aca="true" t="shared" si="5" ref="N7:N39">((M7*100)/G7)</f>
        <v>4.464285714285714</v>
      </c>
      <c r="O7" s="11">
        <v>7</v>
      </c>
      <c r="P7" s="23">
        <f aca="true" t="shared" si="6" ref="P7:P39">((O7*100)/H7)</f>
        <v>5.737704918032787</v>
      </c>
      <c r="Q7" s="13">
        <v>0</v>
      </c>
      <c r="R7" s="21">
        <f aca="true" t="shared" si="7" ref="R7:R39">((Q7*100)/G7)</f>
        <v>0</v>
      </c>
      <c r="S7" s="11">
        <v>7</v>
      </c>
      <c r="T7" s="23">
        <f t="shared" si="1"/>
        <v>5.737704918032787</v>
      </c>
      <c r="U7" s="11">
        <v>58</v>
      </c>
      <c r="V7" s="21">
        <f aca="true" t="shared" si="8" ref="V7:V39">((U7*100)/G7)</f>
        <v>51.785714285714285</v>
      </c>
      <c r="W7" s="11">
        <v>56</v>
      </c>
      <c r="X7" s="23">
        <f aca="true" t="shared" si="9" ref="X7:X39">((W7*100)/H7)</f>
        <v>45.90163934426229</v>
      </c>
      <c r="Y7" s="13">
        <v>33</v>
      </c>
      <c r="Z7" s="21">
        <f aca="true" t="shared" si="10" ref="Z7:Z39">((Y7*100)/G7)</f>
        <v>29.464285714285715</v>
      </c>
      <c r="AA7" s="11">
        <v>29</v>
      </c>
      <c r="AB7" s="83">
        <f aca="true" t="shared" si="11" ref="AB7:AB39">((AA7*100)/H7)</f>
        <v>23.770491803278688</v>
      </c>
      <c r="AC7" s="13">
        <v>2</v>
      </c>
      <c r="AD7" s="52">
        <f t="shared" si="2"/>
        <v>1.7857142857142858</v>
      </c>
      <c r="AE7" s="86">
        <v>0</v>
      </c>
      <c r="AF7" s="23">
        <f aca="true" t="shared" si="12" ref="AF7:AF39">((AE7*100)/H7)</f>
        <v>0</v>
      </c>
      <c r="AG7" s="94">
        <v>1</v>
      </c>
      <c r="AH7" s="95">
        <f t="shared" si="3"/>
        <v>0.8928571428571429</v>
      </c>
    </row>
    <row r="8" spans="1:34" ht="12.75">
      <c r="A8" s="15" t="s">
        <v>13</v>
      </c>
      <c r="B8" s="11">
        <v>246</v>
      </c>
      <c r="C8" s="34">
        <f>108+42+115</f>
        <v>265</v>
      </c>
      <c r="D8" s="13">
        <v>125</v>
      </c>
      <c r="E8" s="12">
        <v>153</v>
      </c>
      <c r="F8" s="42">
        <v>8</v>
      </c>
      <c r="G8" s="13">
        <v>117</v>
      </c>
      <c r="H8" s="12">
        <v>134</v>
      </c>
      <c r="I8" s="61">
        <v>17</v>
      </c>
      <c r="J8" s="62">
        <f t="shared" si="0"/>
        <v>14.52991452991453</v>
      </c>
      <c r="K8" s="63">
        <v>17</v>
      </c>
      <c r="L8" s="64">
        <f t="shared" si="4"/>
        <v>12.686567164179104</v>
      </c>
      <c r="M8" s="13">
        <v>0</v>
      </c>
      <c r="N8" s="21">
        <f t="shared" si="5"/>
        <v>0</v>
      </c>
      <c r="O8" s="11">
        <v>8</v>
      </c>
      <c r="P8" s="23">
        <f t="shared" si="6"/>
        <v>5.970149253731344</v>
      </c>
      <c r="Q8" s="13">
        <v>20</v>
      </c>
      <c r="R8" s="21">
        <f t="shared" si="7"/>
        <v>17.094017094017094</v>
      </c>
      <c r="S8" s="11">
        <v>21</v>
      </c>
      <c r="T8" s="23">
        <f t="shared" si="1"/>
        <v>15.671641791044776</v>
      </c>
      <c r="U8" s="11">
        <v>70</v>
      </c>
      <c r="V8" s="21">
        <f t="shared" si="8"/>
        <v>59.82905982905983</v>
      </c>
      <c r="W8" s="11">
        <v>84</v>
      </c>
      <c r="X8" s="23">
        <f t="shared" si="9"/>
        <v>62.6865671641791</v>
      </c>
      <c r="Y8" s="13">
        <v>8</v>
      </c>
      <c r="Z8" s="21">
        <f t="shared" si="10"/>
        <v>6.837606837606837</v>
      </c>
      <c r="AA8" s="11">
        <v>14</v>
      </c>
      <c r="AB8" s="83">
        <f t="shared" si="11"/>
        <v>10.447761194029852</v>
      </c>
      <c r="AC8" s="13">
        <v>2</v>
      </c>
      <c r="AD8" s="52">
        <f t="shared" si="2"/>
        <v>1.7094017094017093</v>
      </c>
      <c r="AE8" s="86">
        <v>0</v>
      </c>
      <c r="AF8" s="23">
        <f t="shared" si="12"/>
        <v>0</v>
      </c>
      <c r="AG8" s="94">
        <v>0</v>
      </c>
      <c r="AH8" s="95">
        <f t="shared" si="3"/>
        <v>0</v>
      </c>
    </row>
    <row r="9" spans="1:34" ht="12.75">
      <c r="A9" s="15" t="s">
        <v>14</v>
      </c>
      <c r="B9" s="11">
        <v>733</v>
      </c>
      <c r="C9" s="34">
        <f>22+317+141+284</f>
        <v>764</v>
      </c>
      <c r="D9" s="13">
        <v>397</v>
      </c>
      <c r="E9" s="12">
        <f>195+73+163</f>
        <v>431</v>
      </c>
      <c r="F9" s="42">
        <v>19</v>
      </c>
      <c r="G9" s="13">
        <v>378</v>
      </c>
      <c r="H9" s="12">
        <f>188+68+152</f>
        <v>408</v>
      </c>
      <c r="I9" s="61">
        <v>123</v>
      </c>
      <c r="J9" s="62">
        <f t="shared" si="0"/>
        <v>32.53968253968254</v>
      </c>
      <c r="K9" s="63">
        <v>140</v>
      </c>
      <c r="L9" s="64">
        <f t="shared" si="4"/>
        <v>34.31372549019608</v>
      </c>
      <c r="M9" s="13">
        <v>21</v>
      </c>
      <c r="N9" s="21">
        <f t="shared" si="5"/>
        <v>5.555555555555555</v>
      </c>
      <c r="O9" s="11">
        <v>19</v>
      </c>
      <c r="P9" s="23">
        <f t="shared" si="6"/>
        <v>4.6568627450980395</v>
      </c>
      <c r="Q9" s="13">
        <v>39</v>
      </c>
      <c r="R9" s="21">
        <f t="shared" si="7"/>
        <v>10.317460317460318</v>
      </c>
      <c r="S9" s="11">
        <v>45</v>
      </c>
      <c r="T9" s="23">
        <f t="shared" si="1"/>
        <v>11.029411764705882</v>
      </c>
      <c r="U9" s="11">
        <v>159</v>
      </c>
      <c r="V9" s="21">
        <f t="shared" si="8"/>
        <v>42.06349206349206</v>
      </c>
      <c r="W9" s="11">
        <v>178</v>
      </c>
      <c r="X9" s="23">
        <f t="shared" si="9"/>
        <v>43.627450980392155</v>
      </c>
      <c r="Y9" s="13">
        <v>13</v>
      </c>
      <c r="Z9" s="21">
        <f t="shared" si="10"/>
        <v>3.439153439153439</v>
      </c>
      <c r="AA9" s="11">
        <v>24</v>
      </c>
      <c r="AB9" s="83">
        <f t="shared" si="11"/>
        <v>5.882352941176471</v>
      </c>
      <c r="AC9" s="13">
        <v>9</v>
      </c>
      <c r="AD9" s="52">
        <f t="shared" si="2"/>
        <v>2.380952380952381</v>
      </c>
      <c r="AE9" s="86">
        <v>2</v>
      </c>
      <c r="AF9" s="23">
        <f t="shared" si="12"/>
        <v>0.49019607843137253</v>
      </c>
      <c r="AG9" s="94">
        <v>14</v>
      </c>
      <c r="AH9" s="95">
        <f t="shared" si="3"/>
        <v>3.7037037037037037</v>
      </c>
    </row>
    <row r="10" spans="1:34" ht="12.75">
      <c r="A10" s="15" t="s">
        <v>15</v>
      </c>
      <c r="B10" s="11">
        <v>282</v>
      </c>
      <c r="C10" s="34">
        <f>128+48+130</f>
        <v>306</v>
      </c>
      <c r="D10" s="13">
        <v>122</v>
      </c>
      <c r="E10" s="12">
        <v>141</v>
      </c>
      <c r="F10" s="42">
        <v>16</v>
      </c>
      <c r="G10" s="13">
        <v>106</v>
      </c>
      <c r="H10" s="12">
        <v>138</v>
      </c>
      <c r="I10" s="61">
        <v>17</v>
      </c>
      <c r="J10" s="62">
        <f t="shared" si="0"/>
        <v>16.037735849056602</v>
      </c>
      <c r="K10" s="63">
        <v>28</v>
      </c>
      <c r="L10" s="64">
        <f t="shared" si="4"/>
        <v>20.28985507246377</v>
      </c>
      <c r="M10" s="13">
        <v>5</v>
      </c>
      <c r="N10" s="21">
        <f t="shared" si="5"/>
        <v>4.716981132075472</v>
      </c>
      <c r="O10" s="11">
        <v>10</v>
      </c>
      <c r="P10" s="23">
        <f t="shared" si="6"/>
        <v>7.246376811594203</v>
      </c>
      <c r="Q10" s="13">
        <v>12</v>
      </c>
      <c r="R10" s="21">
        <f t="shared" si="7"/>
        <v>11.320754716981131</v>
      </c>
      <c r="S10" s="11">
        <v>32</v>
      </c>
      <c r="T10" s="23">
        <f t="shared" si="1"/>
        <v>23.18840579710145</v>
      </c>
      <c r="U10" s="11">
        <v>38</v>
      </c>
      <c r="V10" s="21">
        <f t="shared" si="8"/>
        <v>35.84905660377358</v>
      </c>
      <c r="W10" s="11">
        <v>25</v>
      </c>
      <c r="X10" s="23">
        <f t="shared" si="9"/>
        <v>18.115942028985508</v>
      </c>
      <c r="Y10" s="13">
        <v>15</v>
      </c>
      <c r="Z10" s="21">
        <f t="shared" si="10"/>
        <v>14.150943396226415</v>
      </c>
      <c r="AA10" s="11">
        <v>42</v>
      </c>
      <c r="AB10" s="83">
        <f t="shared" si="11"/>
        <v>30.434782608695652</v>
      </c>
      <c r="AC10" s="13">
        <v>3</v>
      </c>
      <c r="AD10" s="52">
        <f t="shared" si="2"/>
        <v>2.830188679245283</v>
      </c>
      <c r="AE10" s="86">
        <v>1</v>
      </c>
      <c r="AF10" s="23">
        <f t="shared" si="12"/>
        <v>0.7246376811594203</v>
      </c>
      <c r="AG10" s="94">
        <v>16</v>
      </c>
      <c r="AH10" s="95">
        <f t="shared" si="3"/>
        <v>15.09433962264151</v>
      </c>
    </row>
    <row r="11" spans="1:34" ht="12.75">
      <c r="A11" s="15" t="s">
        <v>16</v>
      </c>
      <c r="B11" s="11">
        <v>332</v>
      </c>
      <c r="C11" s="34">
        <f>114+78+153</f>
        <v>345</v>
      </c>
      <c r="D11" s="13">
        <v>247</v>
      </c>
      <c r="E11" s="12">
        <v>219</v>
      </c>
      <c r="F11" s="42">
        <v>10</v>
      </c>
      <c r="G11" s="13">
        <v>237</v>
      </c>
      <c r="H11" s="12">
        <v>204</v>
      </c>
      <c r="I11" s="61">
        <v>20</v>
      </c>
      <c r="J11" s="62">
        <f t="shared" si="0"/>
        <v>8.438818565400844</v>
      </c>
      <c r="K11" s="63">
        <v>23</v>
      </c>
      <c r="L11" s="64">
        <f t="shared" si="4"/>
        <v>11.27450980392157</v>
      </c>
      <c r="M11" s="13">
        <v>18</v>
      </c>
      <c r="N11" s="21">
        <f t="shared" si="5"/>
        <v>7.594936708860759</v>
      </c>
      <c r="O11" s="11">
        <v>12</v>
      </c>
      <c r="P11" s="23">
        <f t="shared" si="6"/>
        <v>5.882352941176471</v>
      </c>
      <c r="Q11" s="13">
        <v>2</v>
      </c>
      <c r="R11" s="21">
        <f t="shared" si="7"/>
        <v>0.8438818565400844</v>
      </c>
      <c r="S11" s="11">
        <v>6</v>
      </c>
      <c r="T11" s="23">
        <f t="shared" si="1"/>
        <v>2.9411764705882355</v>
      </c>
      <c r="U11" s="11">
        <v>177</v>
      </c>
      <c r="V11" s="21">
        <f t="shared" si="8"/>
        <v>74.68354430379746</v>
      </c>
      <c r="W11" s="11">
        <v>151</v>
      </c>
      <c r="X11" s="23">
        <f t="shared" si="9"/>
        <v>74.01960784313725</v>
      </c>
      <c r="Y11" s="13">
        <v>10</v>
      </c>
      <c r="Z11" s="21">
        <f t="shared" si="10"/>
        <v>4.219409282700422</v>
      </c>
      <c r="AA11" s="11">
        <v>10</v>
      </c>
      <c r="AB11" s="83">
        <f t="shared" si="11"/>
        <v>4.901960784313726</v>
      </c>
      <c r="AC11" s="13">
        <v>1</v>
      </c>
      <c r="AD11" s="52">
        <f t="shared" si="2"/>
        <v>0.4219409282700422</v>
      </c>
      <c r="AE11" s="86">
        <v>2</v>
      </c>
      <c r="AF11" s="23">
        <f t="shared" si="12"/>
        <v>0.9803921568627451</v>
      </c>
      <c r="AG11" s="94">
        <v>9</v>
      </c>
      <c r="AH11" s="95">
        <f t="shared" si="3"/>
        <v>3.7974683544303796</v>
      </c>
    </row>
    <row r="12" spans="1:34" ht="12.75">
      <c r="A12" s="15" t="s">
        <v>57</v>
      </c>
      <c r="B12" s="11">
        <v>45</v>
      </c>
      <c r="C12" s="34">
        <v>31</v>
      </c>
      <c r="D12" s="13">
        <v>24</v>
      </c>
      <c r="E12" s="12">
        <v>16</v>
      </c>
      <c r="F12" s="42">
        <v>2</v>
      </c>
      <c r="G12" s="13">
        <v>22</v>
      </c>
      <c r="H12" s="12">
        <v>14</v>
      </c>
      <c r="I12" s="61">
        <v>3</v>
      </c>
      <c r="J12" s="62">
        <f>IF(I12&gt;0,(I12*100)/G12,"")</f>
        <v>13.636363636363637</v>
      </c>
      <c r="K12" s="63">
        <v>1</v>
      </c>
      <c r="L12" s="64">
        <f>IF(K12&gt;0,(K12*100)/H12,"")</f>
        <v>7.142857142857143</v>
      </c>
      <c r="M12" s="13">
        <v>0</v>
      </c>
      <c r="N12" s="21">
        <f>IF(M12&gt;0,(M12*100)/G12,"")</f>
      </c>
      <c r="O12" s="11">
        <v>0</v>
      </c>
      <c r="P12" s="23">
        <f>IF(O12&gt;0,(O12*100)/H12,"")</f>
      </c>
      <c r="Q12" s="13">
        <v>1</v>
      </c>
      <c r="R12" s="21">
        <f>IF(Q12&gt;0,(Q12*100)/G12,"")</f>
        <v>4.545454545454546</v>
      </c>
      <c r="S12" s="11">
        <v>2</v>
      </c>
      <c r="T12" s="23">
        <f>IF(S12&gt;0,(S12*100)/H12,"")</f>
        <v>14.285714285714286</v>
      </c>
      <c r="U12" s="11">
        <v>16</v>
      </c>
      <c r="V12" s="21">
        <f>IF(U12&gt;0,(U12*100)/G12,"")</f>
        <v>72.72727272727273</v>
      </c>
      <c r="W12" s="11">
        <v>7</v>
      </c>
      <c r="X12" s="23">
        <f>IF(W12&gt;0,(W12*100)/H12,"")</f>
        <v>50</v>
      </c>
      <c r="Y12" s="13">
        <v>2</v>
      </c>
      <c r="Z12" s="21">
        <f>IF(Y12&gt;0,(Y12*100)/G12,"")</f>
        <v>9.090909090909092</v>
      </c>
      <c r="AA12" s="11">
        <v>4</v>
      </c>
      <c r="AB12" s="83">
        <f>IF(AA12&gt;0,(AA12*100)/H12,"")</f>
        <v>28.571428571428573</v>
      </c>
      <c r="AC12" s="13">
        <v>0</v>
      </c>
      <c r="AD12" s="52">
        <f t="shared" si="2"/>
        <v>0</v>
      </c>
      <c r="AE12" s="86">
        <v>0</v>
      </c>
      <c r="AF12" s="23">
        <f t="shared" si="12"/>
        <v>0</v>
      </c>
      <c r="AG12" s="94">
        <v>0</v>
      </c>
      <c r="AH12" s="95">
        <f t="shared" si="3"/>
        <v>0</v>
      </c>
    </row>
    <row r="13" spans="1:34" ht="12.75">
      <c r="A13" s="15" t="s">
        <v>18</v>
      </c>
      <c r="B13" s="11">
        <v>632</v>
      </c>
      <c r="C13" s="34">
        <f>43+257+107+221</f>
        <v>628</v>
      </c>
      <c r="D13" s="13">
        <v>250</v>
      </c>
      <c r="E13" s="12">
        <v>287</v>
      </c>
      <c r="F13" s="42">
        <v>15</v>
      </c>
      <c r="G13" s="13">
        <v>235</v>
      </c>
      <c r="H13" s="12">
        <f>179+83</f>
        <v>262</v>
      </c>
      <c r="I13" s="61">
        <v>43</v>
      </c>
      <c r="J13" s="62">
        <f t="shared" si="0"/>
        <v>18.29787234042553</v>
      </c>
      <c r="K13" s="63">
        <v>59</v>
      </c>
      <c r="L13" s="64">
        <f t="shared" si="4"/>
        <v>22.519083969465647</v>
      </c>
      <c r="M13" s="13">
        <v>35</v>
      </c>
      <c r="N13" s="21">
        <f t="shared" si="5"/>
        <v>14.893617021276595</v>
      </c>
      <c r="O13" s="11">
        <v>37</v>
      </c>
      <c r="P13" s="23">
        <f t="shared" si="6"/>
        <v>14.122137404580153</v>
      </c>
      <c r="Q13" s="13">
        <v>14</v>
      </c>
      <c r="R13" s="21">
        <f t="shared" si="7"/>
        <v>5.957446808510638</v>
      </c>
      <c r="S13" s="11">
        <v>47</v>
      </c>
      <c r="T13" s="23">
        <f t="shared" si="1"/>
        <v>17.938931297709924</v>
      </c>
      <c r="U13" s="11">
        <v>100</v>
      </c>
      <c r="V13" s="21">
        <f t="shared" si="8"/>
        <v>42.5531914893617</v>
      </c>
      <c r="W13" s="11">
        <v>97</v>
      </c>
      <c r="X13" s="23">
        <f t="shared" si="9"/>
        <v>37.02290076335878</v>
      </c>
      <c r="Y13" s="13">
        <v>28</v>
      </c>
      <c r="Z13" s="21">
        <f t="shared" si="10"/>
        <v>11.914893617021276</v>
      </c>
      <c r="AA13" s="11">
        <v>20</v>
      </c>
      <c r="AB13" s="83">
        <f t="shared" si="11"/>
        <v>7.633587786259542</v>
      </c>
      <c r="AC13" s="13">
        <v>5</v>
      </c>
      <c r="AD13" s="52">
        <f t="shared" si="2"/>
        <v>2.127659574468085</v>
      </c>
      <c r="AE13" s="86">
        <v>2</v>
      </c>
      <c r="AF13" s="23">
        <f t="shared" si="12"/>
        <v>0.7633587786259542</v>
      </c>
      <c r="AG13" s="94">
        <v>10</v>
      </c>
      <c r="AH13" s="95">
        <f t="shared" si="3"/>
        <v>4.25531914893617</v>
      </c>
    </row>
    <row r="14" spans="1:34" ht="12.75">
      <c r="A14" s="15" t="s">
        <v>19</v>
      </c>
      <c r="B14" s="11">
        <v>223</v>
      </c>
      <c r="C14" s="34">
        <f>87+39+105</f>
        <v>231</v>
      </c>
      <c r="D14" s="13">
        <v>93</v>
      </c>
      <c r="E14" s="12">
        <v>103</v>
      </c>
      <c r="F14" s="42">
        <v>3</v>
      </c>
      <c r="G14" s="13">
        <v>90</v>
      </c>
      <c r="H14" s="12">
        <v>90</v>
      </c>
      <c r="I14" s="61">
        <v>9</v>
      </c>
      <c r="J14" s="62">
        <f t="shared" si="0"/>
        <v>10</v>
      </c>
      <c r="K14" s="63">
        <v>7</v>
      </c>
      <c r="L14" s="64">
        <f t="shared" si="4"/>
        <v>7.777777777777778</v>
      </c>
      <c r="M14" s="13">
        <v>11</v>
      </c>
      <c r="N14" s="21">
        <f t="shared" si="5"/>
        <v>12.222222222222221</v>
      </c>
      <c r="O14" s="11">
        <v>14</v>
      </c>
      <c r="P14" s="23">
        <f t="shared" si="6"/>
        <v>15.555555555555555</v>
      </c>
      <c r="Q14" s="13">
        <v>2</v>
      </c>
      <c r="R14" s="21">
        <f t="shared" si="7"/>
        <v>2.2222222222222223</v>
      </c>
      <c r="S14" s="11">
        <v>5</v>
      </c>
      <c r="T14" s="23">
        <f t="shared" si="1"/>
        <v>5.555555555555555</v>
      </c>
      <c r="U14" s="11">
        <v>12</v>
      </c>
      <c r="V14" s="21">
        <f t="shared" si="8"/>
        <v>13.333333333333334</v>
      </c>
      <c r="W14" s="11">
        <v>21</v>
      </c>
      <c r="X14" s="23">
        <f t="shared" si="9"/>
        <v>23.333333333333332</v>
      </c>
      <c r="Y14" s="13">
        <v>55</v>
      </c>
      <c r="Z14" s="21">
        <f t="shared" si="10"/>
        <v>61.111111111111114</v>
      </c>
      <c r="AA14" s="11">
        <v>43</v>
      </c>
      <c r="AB14" s="83">
        <f t="shared" si="11"/>
        <v>47.77777777777778</v>
      </c>
      <c r="AC14" s="13">
        <v>0</v>
      </c>
      <c r="AD14" s="52">
        <f t="shared" si="2"/>
        <v>0</v>
      </c>
      <c r="AE14" s="86">
        <v>0</v>
      </c>
      <c r="AF14" s="23">
        <f t="shared" si="12"/>
        <v>0</v>
      </c>
      <c r="AG14" s="94">
        <v>1</v>
      </c>
      <c r="AH14" s="95">
        <f t="shared" si="3"/>
        <v>1.1111111111111112</v>
      </c>
    </row>
    <row r="15" spans="1:34" ht="12.75">
      <c r="A15" s="15" t="s">
        <v>20</v>
      </c>
      <c r="B15" s="11">
        <v>572</v>
      </c>
      <c r="C15" s="34">
        <f>259+116+219</f>
        <v>594</v>
      </c>
      <c r="D15" s="13">
        <v>340</v>
      </c>
      <c r="E15" s="12">
        <f>158+52+116</f>
        <v>326</v>
      </c>
      <c r="F15" s="42">
        <v>23</v>
      </c>
      <c r="G15" s="13">
        <v>317</v>
      </c>
      <c r="H15" s="12">
        <f>148+46+110</f>
        <v>304</v>
      </c>
      <c r="I15" s="61">
        <v>117</v>
      </c>
      <c r="J15" s="62">
        <f t="shared" si="0"/>
        <v>36.90851735015773</v>
      </c>
      <c r="K15" s="63">
        <v>98</v>
      </c>
      <c r="L15" s="64">
        <f t="shared" si="4"/>
        <v>32.23684210526316</v>
      </c>
      <c r="M15" s="13">
        <v>33</v>
      </c>
      <c r="N15" s="21">
        <f t="shared" si="5"/>
        <v>10.410094637223974</v>
      </c>
      <c r="O15" s="11">
        <v>41</v>
      </c>
      <c r="P15" s="23">
        <f t="shared" si="6"/>
        <v>13.486842105263158</v>
      </c>
      <c r="Q15" s="13">
        <v>15</v>
      </c>
      <c r="R15" s="21">
        <f t="shared" si="7"/>
        <v>4.73186119873817</v>
      </c>
      <c r="S15" s="11">
        <v>23</v>
      </c>
      <c r="T15" s="23">
        <f t="shared" si="1"/>
        <v>7.565789473684211</v>
      </c>
      <c r="U15" s="11">
        <v>143</v>
      </c>
      <c r="V15" s="21">
        <f t="shared" si="8"/>
        <v>45.110410094637224</v>
      </c>
      <c r="W15" s="11">
        <v>126</v>
      </c>
      <c r="X15" s="23">
        <f t="shared" si="9"/>
        <v>41.44736842105263</v>
      </c>
      <c r="Y15" s="13">
        <v>3</v>
      </c>
      <c r="Z15" s="21">
        <f t="shared" si="10"/>
        <v>0.9463722397476341</v>
      </c>
      <c r="AA15" s="11">
        <v>14</v>
      </c>
      <c r="AB15" s="83">
        <f t="shared" si="11"/>
        <v>4.605263157894737</v>
      </c>
      <c r="AC15" s="13">
        <v>4</v>
      </c>
      <c r="AD15" s="52">
        <f t="shared" si="2"/>
        <v>1.2618296529968454</v>
      </c>
      <c r="AE15" s="86">
        <v>2</v>
      </c>
      <c r="AF15" s="23">
        <f t="shared" si="12"/>
        <v>0.6578947368421053</v>
      </c>
      <c r="AG15" s="94">
        <v>2</v>
      </c>
      <c r="AH15" s="95">
        <f t="shared" si="3"/>
        <v>0.6309148264984227</v>
      </c>
    </row>
    <row r="16" spans="1:34" ht="12.75">
      <c r="A16" s="15" t="s">
        <v>21</v>
      </c>
      <c r="B16" s="11">
        <v>999</v>
      </c>
      <c r="C16" s="34">
        <f>438+176+360</f>
        <v>974</v>
      </c>
      <c r="D16" s="13">
        <v>470</v>
      </c>
      <c r="E16" s="12">
        <f>254+110+198</f>
        <v>562</v>
      </c>
      <c r="F16" s="42">
        <v>28</v>
      </c>
      <c r="G16" s="13">
        <v>442</v>
      </c>
      <c r="H16" s="12">
        <f>236+106+188</f>
        <v>530</v>
      </c>
      <c r="I16" s="61">
        <v>147</v>
      </c>
      <c r="J16" s="62">
        <f t="shared" si="0"/>
        <v>33.2579185520362</v>
      </c>
      <c r="K16" s="63">
        <v>240</v>
      </c>
      <c r="L16" s="64">
        <f t="shared" si="4"/>
        <v>45.283018867924525</v>
      </c>
      <c r="M16" s="13">
        <v>39</v>
      </c>
      <c r="N16" s="21">
        <f t="shared" si="5"/>
        <v>8.823529411764707</v>
      </c>
      <c r="O16" s="11">
        <v>50</v>
      </c>
      <c r="P16" s="23">
        <f t="shared" si="6"/>
        <v>9.433962264150944</v>
      </c>
      <c r="Q16" s="13">
        <v>34</v>
      </c>
      <c r="R16" s="21">
        <f t="shared" si="7"/>
        <v>7.6923076923076925</v>
      </c>
      <c r="S16" s="11">
        <v>20</v>
      </c>
      <c r="T16" s="23">
        <f t="shared" si="1"/>
        <v>3.7735849056603774</v>
      </c>
      <c r="U16" s="11">
        <v>183</v>
      </c>
      <c r="V16" s="21">
        <f t="shared" si="8"/>
        <v>41.4027149321267</v>
      </c>
      <c r="W16" s="11">
        <v>182</v>
      </c>
      <c r="X16" s="23">
        <f t="shared" si="9"/>
        <v>34.339622641509436</v>
      </c>
      <c r="Y16" s="13">
        <v>29</v>
      </c>
      <c r="Z16" s="21">
        <f t="shared" si="10"/>
        <v>6.5610859728506785</v>
      </c>
      <c r="AA16" s="11">
        <v>38</v>
      </c>
      <c r="AB16" s="83">
        <f t="shared" si="11"/>
        <v>7.169811320754717</v>
      </c>
      <c r="AC16" s="13">
        <v>6</v>
      </c>
      <c r="AD16" s="52">
        <f t="shared" si="2"/>
        <v>1.3574660633484164</v>
      </c>
      <c r="AE16" s="86">
        <v>3</v>
      </c>
      <c r="AF16" s="23">
        <f t="shared" si="12"/>
        <v>0.5660377358490566</v>
      </c>
      <c r="AG16" s="94">
        <v>4</v>
      </c>
      <c r="AH16" s="95">
        <f t="shared" si="3"/>
        <v>0.9049773755656109</v>
      </c>
    </row>
    <row r="17" spans="1:34" ht="12.75">
      <c r="A17" s="15" t="s">
        <v>22</v>
      </c>
      <c r="B17" s="11">
        <v>152</v>
      </c>
      <c r="C17" s="34">
        <f>67+25+60</f>
        <v>152</v>
      </c>
      <c r="D17" s="13">
        <v>102</v>
      </c>
      <c r="E17" s="12">
        <v>90</v>
      </c>
      <c r="F17" s="42">
        <v>6</v>
      </c>
      <c r="G17" s="13">
        <v>96</v>
      </c>
      <c r="H17" s="12">
        <v>85</v>
      </c>
      <c r="I17" s="61">
        <v>5</v>
      </c>
      <c r="J17" s="62">
        <f t="shared" si="0"/>
        <v>5.208333333333333</v>
      </c>
      <c r="K17" s="63">
        <v>4</v>
      </c>
      <c r="L17" s="64">
        <f t="shared" si="4"/>
        <v>4.705882352941177</v>
      </c>
      <c r="M17" s="13">
        <v>3</v>
      </c>
      <c r="N17" s="21">
        <f t="shared" si="5"/>
        <v>3.125</v>
      </c>
      <c r="O17" s="11">
        <v>3</v>
      </c>
      <c r="P17" s="23">
        <f t="shared" si="6"/>
        <v>3.5294117647058822</v>
      </c>
      <c r="Q17" s="13">
        <v>9</v>
      </c>
      <c r="R17" s="21">
        <f t="shared" si="7"/>
        <v>9.375</v>
      </c>
      <c r="S17" s="11">
        <v>4</v>
      </c>
      <c r="T17" s="23">
        <f t="shared" si="1"/>
        <v>4.705882352941177</v>
      </c>
      <c r="U17" s="11">
        <v>70</v>
      </c>
      <c r="V17" s="21">
        <f t="shared" si="8"/>
        <v>72.91666666666667</v>
      </c>
      <c r="W17" s="11">
        <v>70</v>
      </c>
      <c r="X17" s="23">
        <f t="shared" si="9"/>
        <v>82.3529411764706</v>
      </c>
      <c r="Y17" s="13">
        <v>6</v>
      </c>
      <c r="Z17" s="21">
        <f t="shared" si="10"/>
        <v>6.25</v>
      </c>
      <c r="AA17" s="11">
        <v>4</v>
      </c>
      <c r="AB17" s="83">
        <f t="shared" si="11"/>
        <v>4.705882352941177</v>
      </c>
      <c r="AC17" s="13">
        <v>1</v>
      </c>
      <c r="AD17" s="52">
        <f t="shared" si="2"/>
        <v>1.0416666666666667</v>
      </c>
      <c r="AE17" s="86">
        <v>0</v>
      </c>
      <c r="AF17" s="23">
        <f t="shared" si="12"/>
        <v>0</v>
      </c>
      <c r="AG17" s="94">
        <v>2</v>
      </c>
      <c r="AH17" s="95">
        <f t="shared" si="3"/>
        <v>2.0833333333333335</v>
      </c>
    </row>
    <row r="18" spans="1:34" ht="12.75">
      <c r="A18" s="15" t="s">
        <v>23</v>
      </c>
      <c r="B18" s="11">
        <v>1155</v>
      </c>
      <c r="C18" s="34">
        <f>23+419+284+436</f>
        <v>1162</v>
      </c>
      <c r="D18" s="13">
        <v>507</v>
      </c>
      <c r="E18" s="12">
        <f>254+137+203</f>
        <v>594</v>
      </c>
      <c r="F18" s="42">
        <v>32</v>
      </c>
      <c r="G18" s="13">
        <v>475</v>
      </c>
      <c r="H18" s="12">
        <f>246+131+187</f>
        <v>564</v>
      </c>
      <c r="I18" s="61">
        <v>135</v>
      </c>
      <c r="J18" s="62">
        <f t="shared" si="0"/>
        <v>28.42105263157895</v>
      </c>
      <c r="K18" s="63">
        <v>135</v>
      </c>
      <c r="L18" s="64">
        <f t="shared" si="4"/>
        <v>23.93617021276596</v>
      </c>
      <c r="M18" s="13">
        <v>31</v>
      </c>
      <c r="N18" s="21">
        <f t="shared" si="5"/>
        <v>6.526315789473684</v>
      </c>
      <c r="O18" s="11">
        <v>46</v>
      </c>
      <c r="P18" s="23">
        <f t="shared" si="6"/>
        <v>8.156028368794326</v>
      </c>
      <c r="Q18" s="13">
        <v>19</v>
      </c>
      <c r="R18" s="21">
        <f t="shared" si="7"/>
        <v>4</v>
      </c>
      <c r="S18" s="11">
        <v>37</v>
      </c>
      <c r="T18" s="23">
        <f t="shared" si="1"/>
        <v>6.560283687943262</v>
      </c>
      <c r="U18" s="11">
        <v>176</v>
      </c>
      <c r="V18" s="21">
        <f t="shared" si="8"/>
        <v>37.05263157894737</v>
      </c>
      <c r="W18" s="11">
        <f>123+49+72</f>
        <v>244</v>
      </c>
      <c r="X18" s="23">
        <f t="shared" si="9"/>
        <v>43.262411347517734</v>
      </c>
      <c r="Y18" s="13">
        <v>99</v>
      </c>
      <c r="Z18" s="21">
        <f t="shared" si="10"/>
        <v>20.842105263157894</v>
      </c>
      <c r="AA18" s="11">
        <v>99</v>
      </c>
      <c r="AB18" s="83">
        <f t="shared" si="11"/>
        <v>17.5531914893617</v>
      </c>
      <c r="AC18" s="13">
        <v>9</v>
      </c>
      <c r="AD18" s="52">
        <f t="shared" si="2"/>
        <v>1.894736842105263</v>
      </c>
      <c r="AE18" s="86">
        <v>3</v>
      </c>
      <c r="AF18" s="23">
        <f t="shared" si="12"/>
        <v>0.5319148936170213</v>
      </c>
      <c r="AG18" s="94">
        <v>6</v>
      </c>
      <c r="AH18" s="95">
        <f t="shared" si="3"/>
        <v>1.263157894736842</v>
      </c>
    </row>
    <row r="19" spans="1:34" ht="12.75">
      <c r="A19" s="15" t="s">
        <v>24</v>
      </c>
      <c r="B19" s="11">
        <v>710</v>
      </c>
      <c r="C19" s="34">
        <f>331+104+221</f>
        <v>656</v>
      </c>
      <c r="D19" s="13">
        <v>424</v>
      </c>
      <c r="E19" s="12">
        <f>212+58+125</f>
        <v>395</v>
      </c>
      <c r="F19" s="42">
        <v>31</v>
      </c>
      <c r="G19" s="13">
        <v>393</v>
      </c>
      <c r="H19" s="12">
        <f>180+52+105</f>
        <v>337</v>
      </c>
      <c r="I19" s="61">
        <v>108</v>
      </c>
      <c r="J19" s="62">
        <f t="shared" si="0"/>
        <v>27.480916030534353</v>
      </c>
      <c r="K19" s="63">
        <v>86</v>
      </c>
      <c r="L19" s="64">
        <f t="shared" si="4"/>
        <v>25.519287833827892</v>
      </c>
      <c r="M19" s="13">
        <v>9</v>
      </c>
      <c r="N19" s="21">
        <f t="shared" si="5"/>
        <v>2.2900763358778624</v>
      </c>
      <c r="O19" s="11">
        <v>9</v>
      </c>
      <c r="P19" s="23">
        <f t="shared" si="6"/>
        <v>2.6706231454005933</v>
      </c>
      <c r="Q19" s="13">
        <v>13</v>
      </c>
      <c r="R19" s="21">
        <f t="shared" si="7"/>
        <v>3.3078880407124682</v>
      </c>
      <c r="S19" s="11">
        <v>25</v>
      </c>
      <c r="T19" s="23">
        <f t="shared" si="1"/>
        <v>7.4183976261127595</v>
      </c>
      <c r="U19" s="11">
        <v>217</v>
      </c>
      <c r="V19" s="21">
        <f t="shared" si="8"/>
        <v>55.216284987277355</v>
      </c>
      <c r="W19" s="11">
        <v>204</v>
      </c>
      <c r="X19" s="23">
        <f t="shared" si="9"/>
        <v>60.53412462908012</v>
      </c>
      <c r="Y19" s="13">
        <v>12</v>
      </c>
      <c r="Z19" s="21">
        <f t="shared" si="10"/>
        <v>3.053435114503817</v>
      </c>
      <c r="AA19" s="11">
        <v>11</v>
      </c>
      <c r="AB19" s="83">
        <f t="shared" si="11"/>
        <v>3.264094955489614</v>
      </c>
      <c r="AC19" s="13">
        <v>5</v>
      </c>
      <c r="AD19" s="52">
        <f t="shared" si="2"/>
        <v>1.272264631043257</v>
      </c>
      <c r="AE19" s="86">
        <v>2</v>
      </c>
      <c r="AF19" s="23">
        <f t="shared" si="12"/>
        <v>0.5934718100890207</v>
      </c>
      <c r="AG19" s="94">
        <v>29</v>
      </c>
      <c r="AH19" s="95">
        <f t="shared" si="3"/>
        <v>7.379134860050891</v>
      </c>
    </row>
    <row r="20" spans="1:34" ht="12.75">
      <c r="A20" s="15" t="s">
        <v>25</v>
      </c>
      <c r="B20" s="11">
        <v>671</v>
      </c>
      <c r="C20" s="34">
        <f>287+134+274</f>
        <v>695</v>
      </c>
      <c r="D20" s="13">
        <v>379</v>
      </c>
      <c r="E20" s="12">
        <f>152+71+148</f>
        <v>371</v>
      </c>
      <c r="F20" s="42">
        <v>95</v>
      </c>
      <c r="G20" s="13">
        <v>284</v>
      </c>
      <c r="H20" s="12">
        <f>136+61+120</f>
        <v>317</v>
      </c>
      <c r="I20" s="61">
        <v>15</v>
      </c>
      <c r="J20" s="62">
        <f t="shared" si="0"/>
        <v>5.28169014084507</v>
      </c>
      <c r="K20" s="63">
        <v>24</v>
      </c>
      <c r="L20" s="64">
        <f t="shared" si="4"/>
        <v>7.570977917981073</v>
      </c>
      <c r="M20" s="13">
        <v>41</v>
      </c>
      <c r="N20" s="21">
        <f t="shared" si="5"/>
        <v>14.43661971830986</v>
      </c>
      <c r="O20" s="11">
        <v>35</v>
      </c>
      <c r="P20" s="23">
        <f t="shared" si="6"/>
        <v>11.041009463722398</v>
      </c>
      <c r="Q20" s="13">
        <v>7</v>
      </c>
      <c r="R20" s="21">
        <f t="shared" si="7"/>
        <v>2.464788732394366</v>
      </c>
      <c r="S20" s="11">
        <v>19</v>
      </c>
      <c r="T20" s="23">
        <f t="shared" si="1"/>
        <v>5.993690851735016</v>
      </c>
      <c r="U20" s="11">
        <v>199</v>
      </c>
      <c r="V20" s="21">
        <f t="shared" si="8"/>
        <v>70.07042253521126</v>
      </c>
      <c r="W20" s="11">
        <v>215</v>
      </c>
      <c r="X20" s="23">
        <f t="shared" si="9"/>
        <v>67.82334384858044</v>
      </c>
      <c r="Y20" s="13">
        <v>17</v>
      </c>
      <c r="Z20" s="21">
        <f t="shared" si="10"/>
        <v>5.985915492957746</v>
      </c>
      <c r="AA20" s="11">
        <v>24</v>
      </c>
      <c r="AB20" s="83">
        <f t="shared" si="11"/>
        <v>7.570977917981073</v>
      </c>
      <c r="AC20" s="13">
        <v>3</v>
      </c>
      <c r="AD20" s="52">
        <f t="shared" si="2"/>
        <v>1.056338028169014</v>
      </c>
      <c r="AE20" s="86">
        <v>0</v>
      </c>
      <c r="AF20" s="23">
        <f t="shared" si="12"/>
        <v>0</v>
      </c>
      <c r="AG20" s="94">
        <v>2</v>
      </c>
      <c r="AH20" s="95">
        <f t="shared" si="3"/>
        <v>0.704225352112676</v>
      </c>
    </row>
    <row r="21" spans="1:34" ht="12.75">
      <c r="A21" s="15" t="s">
        <v>26</v>
      </c>
      <c r="B21" s="11">
        <v>601</v>
      </c>
      <c r="C21" s="34">
        <f>13+261+86+200</f>
        <v>560</v>
      </c>
      <c r="D21" s="13">
        <v>366</v>
      </c>
      <c r="E21" s="12">
        <f>184+58+135</f>
        <v>377</v>
      </c>
      <c r="F21" s="42">
        <v>14</v>
      </c>
      <c r="G21" s="13">
        <v>352</v>
      </c>
      <c r="H21" s="12">
        <f>169+53+125</f>
        <v>347</v>
      </c>
      <c r="I21" s="61">
        <v>55</v>
      </c>
      <c r="J21" s="62">
        <f t="shared" si="0"/>
        <v>15.625</v>
      </c>
      <c r="K21" s="63">
        <v>76</v>
      </c>
      <c r="L21" s="64">
        <f t="shared" si="4"/>
        <v>21.902017291066283</v>
      </c>
      <c r="M21" s="13">
        <v>92</v>
      </c>
      <c r="N21" s="21">
        <f t="shared" si="5"/>
        <v>26.136363636363637</v>
      </c>
      <c r="O21" s="11">
        <v>61</v>
      </c>
      <c r="P21" s="23">
        <f t="shared" si="6"/>
        <v>17.579250720461093</v>
      </c>
      <c r="Q21" s="13">
        <v>33</v>
      </c>
      <c r="R21" s="21">
        <f t="shared" si="7"/>
        <v>9.375</v>
      </c>
      <c r="S21" s="11">
        <v>31</v>
      </c>
      <c r="T21" s="23">
        <f t="shared" si="1"/>
        <v>8.93371757925072</v>
      </c>
      <c r="U21" s="11">
        <v>139</v>
      </c>
      <c r="V21" s="21">
        <f t="shared" si="8"/>
        <v>39.48863636363637</v>
      </c>
      <c r="W21" s="11">
        <v>163</v>
      </c>
      <c r="X21" s="23">
        <f t="shared" si="9"/>
        <v>46.97406340057637</v>
      </c>
      <c r="Y21" s="13">
        <v>21</v>
      </c>
      <c r="Z21" s="21">
        <f t="shared" si="10"/>
        <v>5.965909090909091</v>
      </c>
      <c r="AA21" s="11">
        <v>13</v>
      </c>
      <c r="AB21" s="83">
        <f t="shared" si="11"/>
        <v>3.7463976945244957</v>
      </c>
      <c r="AC21" s="13">
        <v>5</v>
      </c>
      <c r="AD21" s="52">
        <f t="shared" si="2"/>
        <v>1.4204545454545454</v>
      </c>
      <c r="AE21" s="86">
        <v>3</v>
      </c>
      <c r="AF21" s="23">
        <f t="shared" si="12"/>
        <v>0.8645533141210374</v>
      </c>
      <c r="AG21" s="94">
        <v>7</v>
      </c>
      <c r="AH21" s="95">
        <f t="shared" si="3"/>
        <v>1.9886363636363635</v>
      </c>
    </row>
    <row r="22" spans="1:34" ht="12.75">
      <c r="A22" s="15" t="s">
        <v>27</v>
      </c>
      <c r="B22" s="11">
        <v>353</v>
      </c>
      <c r="C22" s="34">
        <f>16+123+60+157</f>
        <v>356</v>
      </c>
      <c r="D22" s="13">
        <v>228</v>
      </c>
      <c r="E22" s="12">
        <f>93+37+89</f>
        <v>219</v>
      </c>
      <c r="F22" s="42">
        <v>11</v>
      </c>
      <c r="G22" s="13">
        <v>217</v>
      </c>
      <c r="H22" s="12">
        <v>193</v>
      </c>
      <c r="I22" s="61">
        <v>24</v>
      </c>
      <c r="J22" s="62">
        <f t="shared" si="0"/>
        <v>11.059907834101383</v>
      </c>
      <c r="K22" s="63">
        <v>23</v>
      </c>
      <c r="L22" s="64">
        <f t="shared" si="4"/>
        <v>11.917098445595855</v>
      </c>
      <c r="M22" s="13">
        <v>12</v>
      </c>
      <c r="N22" s="21">
        <f t="shared" si="5"/>
        <v>5.529953917050691</v>
      </c>
      <c r="O22" s="11">
        <v>11</v>
      </c>
      <c r="P22" s="23">
        <f t="shared" si="6"/>
        <v>5.699481865284974</v>
      </c>
      <c r="Q22" s="13">
        <v>5</v>
      </c>
      <c r="R22" s="21">
        <f t="shared" si="7"/>
        <v>2.304147465437788</v>
      </c>
      <c r="S22" s="11">
        <v>2</v>
      </c>
      <c r="T22" s="23">
        <f t="shared" si="1"/>
        <v>1.0362694300518134</v>
      </c>
      <c r="U22" s="11">
        <v>165</v>
      </c>
      <c r="V22" s="21">
        <f t="shared" si="8"/>
        <v>76.036866359447</v>
      </c>
      <c r="W22" s="11">
        <v>134</v>
      </c>
      <c r="X22" s="23">
        <f t="shared" si="9"/>
        <v>69.43005181347151</v>
      </c>
      <c r="Y22" s="13">
        <v>5</v>
      </c>
      <c r="Z22" s="21">
        <f t="shared" si="10"/>
        <v>2.304147465437788</v>
      </c>
      <c r="AA22" s="11">
        <v>23</v>
      </c>
      <c r="AB22" s="83">
        <f t="shared" si="11"/>
        <v>11.917098445595855</v>
      </c>
      <c r="AC22" s="13">
        <v>4</v>
      </c>
      <c r="AD22" s="52">
        <f t="shared" si="2"/>
        <v>1.8433179723502304</v>
      </c>
      <c r="AE22" s="86">
        <v>0</v>
      </c>
      <c r="AF22" s="23">
        <f t="shared" si="12"/>
        <v>0</v>
      </c>
      <c r="AG22" s="94">
        <v>2</v>
      </c>
      <c r="AH22" s="95">
        <f t="shared" si="3"/>
        <v>0.9216589861751152</v>
      </c>
    </row>
    <row r="23" spans="1:34" ht="12.75">
      <c r="A23" s="15" t="s">
        <v>28</v>
      </c>
      <c r="B23" s="11">
        <v>381</v>
      </c>
      <c r="C23" s="34">
        <f>12+161+73+145</f>
        <v>391</v>
      </c>
      <c r="D23" s="13">
        <v>250</v>
      </c>
      <c r="E23" s="12">
        <f>169+89</f>
        <v>258</v>
      </c>
      <c r="F23" s="42">
        <v>17</v>
      </c>
      <c r="G23" s="13">
        <v>233</v>
      </c>
      <c r="H23" s="12">
        <f>117+49+86</f>
        <v>252</v>
      </c>
      <c r="I23" s="61">
        <v>9</v>
      </c>
      <c r="J23" s="62">
        <f t="shared" si="0"/>
        <v>3.8626609442060085</v>
      </c>
      <c r="K23" s="63">
        <v>19</v>
      </c>
      <c r="L23" s="64">
        <f t="shared" si="4"/>
        <v>7.5396825396825395</v>
      </c>
      <c r="M23" s="13">
        <v>12</v>
      </c>
      <c r="N23" s="21">
        <f t="shared" si="5"/>
        <v>5.150214592274678</v>
      </c>
      <c r="O23" s="11">
        <v>13</v>
      </c>
      <c r="P23" s="23">
        <f t="shared" si="6"/>
        <v>5.158730158730159</v>
      </c>
      <c r="Q23" s="13">
        <v>33</v>
      </c>
      <c r="R23" s="21">
        <f t="shared" si="7"/>
        <v>14.163090128755364</v>
      </c>
      <c r="S23" s="11">
        <v>33</v>
      </c>
      <c r="T23" s="23">
        <f t="shared" si="1"/>
        <v>13.095238095238095</v>
      </c>
      <c r="U23" s="11">
        <v>102</v>
      </c>
      <c r="V23" s="21">
        <f t="shared" si="8"/>
        <v>43.776824034334766</v>
      </c>
      <c r="W23" s="11">
        <v>101</v>
      </c>
      <c r="X23" s="23">
        <f t="shared" si="9"/>
        <v>40.07936507936508</v>
      </c>
      <c r="Y23" s="13">
        <v>66</v>
      </c>
      <c r="Z23" s="21">
        <f t="shared" si="10"/>
        <v>28.326180257510728</v>
      </c>
      <c r="AA23" s="11">
        <v>85</v>
      </c>
      <c r="AB23" s="83">
        <f t="shared" si="11"/>
        <v>33.73015873015873</v>
      </c>
      <c r="AC23" s="13">
        <v>5</v>
      </c>
      <c r="AD23" s="52">
        <f t="shared" si="2"/>
        <v>2.1459227467811157</v>
      </c>
      <c r="AE23" s="86">
        <v>1</v>
      </c>
      <c r="AF23" s="23">
        <f t="shared" si="12"/>
        <v>0.3968253968253968</v>
      </c>
      <c r="AG23" s="94">
        <v>6</v>
      </c>
      <c r="AH23" s="95">
        <f t="shared" si="3"/>
        <v>2.575107296137339</v>
      </c>
    </row>
    <row r="24" spans="1:34" ht="12.75">
      <c r="A24" s="15" t="s">
        <v>29</v>
      </c>
      <c r="B24" s="11">
        <v>3545</v>
      </c>
      <c r="C24" s="34">
        <f>96+1445+855+1210</f>
        <v>3606</v>
      </c>
      <c r="D24" s="13">
        <v>1465</v>
      </c>
      <c r="E24" s="12">
        <f>42+671+338+509</f>
        <v>1560</v>
      </c>
      <c r="F24" s="42">
        <v>73</v>
      </c>
      <c r="G24" s="13">
        <v>1392</v>
      </c>
      <c r="H24" s="12">
        <f>34+639+315+470</f>
        <v>1458</v>
      </c>
      <c r="I24" s="61">
        <v>351</v>
      </c>
      <c r="J24" s="62">
        <f t="shared" si="0"/>
        <v>25.21551724137931</v>
      </c>
      <c r="K24" s="63">
        <f>176+99+139</f>
        <v>414</v>
      </c>
      <c r="L24" s="64">
        <f t="shared" si="4"/>
        <v>28.395061728395063</v>
      </c>
      <c r="M24" s="13">
        <v>192</v>
      </c>
      <c r="N24" s="21">
        <f t="shared" si="5"/>
        <v>13.793103448275861</v>
      </c>
      <c r="O24" s="11">
        <f>168+102</f>
        <v>270</v>
      </c>
      <c r="P24" s="23">
        <f t="shared" si="6"/>
        <v>18.51851851851852</v>
      </c>
      <c r="Q24" s="13">
        <v>123</v>
      </c>
      <c r="R24" s="21">
        <f t="shared" si="7"/>
        <v>8.836206896551724</v>
      </c>
      <c r="S24" s="11">
        <v>160</v>
      </c>
      <c r="T24" s="23">
        <f t="shared" si="1"/>
        <v>10.973936899862826</v>
      </c>
      <c r="U24" s="11">
        <v>513</v>
      </c>
      <c r="V24" s="21">
        <f t="shared" si="8"/>
        <v>36.85344827586207</v>
      </c>
      <c r="W24" s="11">
        <f>236+98+165</f>
        <v>499</v>
      </c>
      <c r="X24" s="23">
        <f t="shared" si="9"/>
        <v>34.224965706447186</v>
      </c>
      <c r="Y24" s="13">
        <v>133</v>
      </c>
      <c r="Z24" s="21">
        <f t="shared" si="10"/>
        <v>9.554597701149426</v>
      </c>
      <c r="AA24" s="11">
        <v>56</v>
      </c>
      <c r="AB24" s="83">
        <f t="shared" si="11"/>
        <v>3.840877914951989</v>
      </c>
      <c r="AC24" s="13">
        <v>35</v>
      </c>
      <c r="AD24" s="52">
        <f t="shared" si="2"/>
        <v>2.514367816091954</v>
      </c>
      <c r="AE24" s="86">
        <v>59</v>
      </c>
      <c r="AF24" s="23">
        <f t="shared" si="12"/>
        <v>4.046639231824417</v>
      </c>
      <c r="AG24" s="94">
        <v>45</v>
      </c>
      <c r="AH24" s="95">
        <f t="shared" si="3"/>
        <v>3.2327586206896552</v>
      </c>
    </row>
    <row r="25" spans="1:34" ht="12.75">
      <c r="A25" s="15" t="s">
        <v>30</v>
      </c>
      <c r="B25" s="11">
        <v>437</v>
      </c>
      <c r="C25" s="34">
        <f>201+75+217</f>
        <v>493</v>
      </c>
      <c r="D25" s="13">
        <v>215</v>
      </c>
      <c r="E25" s="12">
        <f>109+46+117</f>
        <v>272</v>
      </c>
      <c r="F25" s="42">
        <v>15</v>
      </c>
      <c r="G25" s="13">
        <v>200</v>
      </c>
      <c r="H25" s="12">
        <v>258</v>
      </c>
      <c r="I25" s="61">
        <v>22</v>
      </c>
      <c r="J25" s="62">
        <f t="shared" si="0"/>
        <v>11</v>
      </c>
      <c r="K25" s="63">
        <v>60</v>
      </c>
      <c r="L25" s="64">
        <f t="shared" si="4"/>
        <v>23.25581395348837</v>
      </c>
      <c r="M25" s="13">
        <v>16</v>
      </c>
      <c r="N25" s="21">
        <f t="shared" si="5"/>
        <v>8</v>
      </c>
      <c r="O25" s="11">
        <v>38</v>
      </c>
      <c r="P25" s="23">
        <f t="shared" si="6"/>
        <v>14.728682170542635</v>
      </c>
      <c r="Q25" s="13">
        <v>9</v>
      </c>
      <c r="R25" s="21">
        <f t="shared" si="7"/>
        <v>4.5</v>
      </c>
      <c r="S25" s="11">
        <v>20</v>
      </c>
      <c r="T25" s="23">
        <f t="shared" si="1"/>
        <v>7.751937984496124</v>
      </c>
      <c r="U25" s="11">
        <v>104</v>
      </c>
      <c r="V25" s="21">
        <f t="shared" si="8"/>
        <v>52</v>
      </c>
      <c r="W25" s="11">
        <v>119</v>
      </c>
      <c r="X25" s="23">
        <f t="shared" si="9"/>
        <v>46.12403100775194</v>
      </c>
      <c r="Y25" s="13">
        <v>11</v>
      </c>
      <c r="Z25" s="21">
        <f t="shared" si="10"/>
        <v>5.5</v>
      </c>
      <c r="AA25" s="11">
        <v>20</v>
      </c>
      <c r="AB25" s="83">
        <f t="shared" si="11"/>
        <v>7.751937984496124</v>
      </c>
      <c r="AC25" s="13">
        <v>3</v>
      </c>
      <c r="AD25" s="52">
        <f t="shared" si="2"/>
        <v>1.5</v>
      </c>
      <c r="AE25" s="86">
        <v>1</v>
      </c>
      <c r="AF25" s="23">
        <f t="shared" si="12"/>
        <v>0.3875968992248062</v>
      </c>
      <c r="AG25" s="94">
        <v>35</v>
      </c>
      <c r="AH25" s="95">
        <f t="shared" si="3"/>
        <v>17.5</v>
      </c>
    </row>
    <row r="26" spans="1:34" ht="12.75">
      <c r="A26" s="15" t="s">
        <v>31</v>
      </c>
      <c r="B26" s="11">
        <v>221</v>
      </c>
      <c r="C26" s="34">
        <f>85+37+102</f>
        <v>224</v>
      </c>
      <c r="D26" s="13">
        <v>144</v>
      </c>
      <c r="E26" s="12">
        <f>98+69</f>
        <v>167</v>
      </c>
      <c r="F26" s="42">
        <v>6</v>
      </c>
      <c r="G26" s="13">
        <v>138</v>
      </c>
      <c r="H26" s="12">
        <f>93+62</f>
        <v>155</v>
      </c>
      <c r="I26" s="61">
        <v>30</v>
      </c>
      <c r="J26" s="62">
        <f t="shared" si="0"/>
        <v>21.73913043478261</v>
      </c>
      <c r="K26" s="63">
        <v>25</v>
      </c>
      <c r="L26" s="64">
        <f t="shared" si="4"/>
        <v>16.129032258064516</v>
      </c>
      <c r="M26" s="13">
        <v>11</v>
      </c>
      <c r="N26" s="21">
        <f t="shared" si="5"/>
        <v>7.971014492753623</v>
      </c>
      <c r="O26" s="11">
        <v>13</v>
      </c>
      <c r="P26" s="23">
        <f t="shared" si="6"/>
        <v>8.387096774193548</v>
      </c>
      <c r="Q26" s="13">
        <v>9</v>
      </c>
      <c r="R26" s="21">
        <f t="shared" si="7"/>
        <v>6.521739130434782</v>
      </c>
      <c r="S26" s="11">
        <v>4</v>
      </c>
      <c r="T26" s="23">
        <f t="shared" si="1"/>
        <v>2.5806451612903225</v>
      </c>
      <c r="U26" s="11">
        <v>43</v>
      </c>
      <c r="V26" s="21">
        <f t="shared" si="8"/>
        <v>31.159420289855074</v>
      </c>
      <c r="W26" s="11">
        <v>37</v>
      </c>
      <c r="X26" s="23">
        <f t="shared" si="9"/>
        <v>23.870967741935484</v>
      </c>
      <c r="Y26" s="13">
        <v>39</v>
      </c>
      <c r="Z26" s="21">
        <f t="shared" si="10"/>
        <v>28.26086956521739</v>
      </c>
      <c r="AA26" s="11">
        <v>76</v>
      </c>
      <c r="AB26" s="83">
        <f t="shared" si="11"/>
        <v>49.03225806451613</v>
      </c>
      <c r="AC26" s="13">
        <v>1</v>
      </c>
      <c r="AD26" s="52">
        <f t="shared" si="2"/>
        <v>0.7246376811594203</v>
      </c>
      <c r="AE26" s="86">
        <v>0</v>
      </c>
      <c r="AF26" s="23">
        <f t="shared" si="12"/>
        <v>0</v>
      </c>
      <c r="AG26" s="94">
        <v>5</v>
      </c>
      <c r="AH26" s="95">
        <f t="shared" si="3"/>
        <v>3.6231884057971016</v>
      </c>
    </row>
    <row r="27" spans="1:34" ht="12.75">
      <c r="A27" s="15" t="s">
        <v>32</v>
      </c>
      <c r="B27" s="11">
        <v>877</v>
      </c>
      <c r="C27" s="34">
        <f>24+354+188+294</f>
        <v>860</v>
      </c>
      <c r="D27" s="13">
        <v>482</v>
      </c>
      <c r="E27" s="12">
        <f>238+107+185</f>
        <v>530</v>
      </c>
      <c r="F27" s="42">
        <v>23</v>
      </c>
      <c r="G27" s="13">
        <v>459</v>
      </c>
      <c r="H27" s="12">
        <f>337+177</f>
        <v>514</v>
      </c>
      <c r="I27" s="61">
        <v>127</v>
      </c>
      <c r="J27" s="62">
        <f t="shared" si="0"/>
        <v>27.66884531590414</v>
      </c>
      <c r="K27" s="63">
        <f>62+39+58</f>
        <v>159</v>
      </c>
      <c r="L27" s="64">
        <f t="shared" si="4"/>
        <v>30.93385214007782</v>
      </c>
      <c r="M27" s="13">
        <v>53</v>
      </c>
      <c r="N27" s="21">
        <f t="shared" si="5"/>
        <v>11.546840958605664</v>
      </c>
      <c r="O27" s="11">
        <v>42</v>
      </c>
      <c r="P27" s="23">
        <f t="shared" si="6"/>
        <v>8.171206225680933</v>
      </c>
      <c r="Q27" s="13">
        <v>17</v>
      </c>
      <c r="R27" s="21">
        <f t="shared" si="7"/>
        <v>3.7037037037037037</v>
      </c>
      <c r="S27" s="11">
        <v>36</v>
      </c>
      <c r="T27" s="23">
        <f t="shared" si="1"/>
        <v>7.003891050583658</v>
      </c>
      <c r="U27" s="11">
        <v>242</v>
      </c>
      <c r="V27" s="21">
        <f t="shared" si="8"/>
        <v>52.72331154684096</v>
      </c>
      <c r="W27" s="11">
        <f>181+78</f>
        <v>259</v>
      </c>
      <c r="X27" s="23">
        <f t="shared" si="9"/>
        <v>50.38910505836576</v>
      </c>
      <c r="Y27" s="13">
        <v>14</v>
      </c>
      <c r="Z27" s="21">
        <f t="shared" si="10"/>
        <v>3.0501089324618738</v>
      </c>
      <c r="AA27" s="11">
        <v>18</v>
      </c>
      <c r="AB27" s="83">
        <f t="shared" si="11"/>
        <v>3.501945525291829</v>
      </c>
      <c r="AC27" s="13">
        <v>4</v>
      </c>
      <c r="AD27" s="52">
        <f t="shared" si="2"/>
        <v>0.8714596949891068</v>
      </c>
      <c r="AE27" s="86">
        <v>0</v>
      </c>
      <c r="AF27" s="23">
        <f t="shared" si="12"/>
        <v>0</v>
      </c>
      <c r="AG27" s="94">
        <v>2</v>
      </c>
      <c r="AH27" s="95">
        <f t="shared" si="3"/>
        <v>0.4357298474945534</v>
      </c>
    </row>
    <row r="28" spans="1:34" ht="12.75">
      <c r="A28" s="15" t="s">
        <v>33</v>
      </c>
      <c r="B28" s="11">
        <v>64</v>
      </c>
      <c r="C28" s="34">
        <v>49</v>
      </c>
      <c r="D28" s="13">
        <v>28</v>
      </c>
      <c r="E28" s="12">
        <v>29</v>
      </c>
      <c r="F28" s="42">
        <v>0</v>
      </c>
      <c r="G28" s="13">
        <v>28</v>
      </c>
      <c r="H28" s="12">
        <v>28</v>
      </c>
      <c r="I28" s="61">
        <v>4</v>
      </c>
      <c r="J28" s="62">
        <f t="shared" si="0"/>
        <v>14.285714285714286</v>
      </c>
      <c r="K28" s="63">
        <v>0</v>
      </c>
      <c r="L28" s="64">
        <f t="shared" si="4"/>
        <v>0</v>
      </c>
      <c r="M28" s="13">
        <v>1</v>
      </c>
      <c r="N28" s="21">
        <f t="shared" si="5"/>
        <v>3.5714285714285716</v>
      </c>
      <c r="O28" s="11">
        <v>0</v>
      </c>
      <c r="P28" s="23">
        <f t="shared" si="6"/>
        <v>0</v>
      </c>
      <c r="Q28" s="13">
        <v>0</v>
      </c>
      <c r="R28" s="21">
        <f t="shared" si="7"/>
        <v>0</v>
      </c>
      <c r="S28" s="11">
        <v>4</v>
      </c>
      <c r="T28" s="23">
        <f t="shared" si="1"/>
        <v>14.285714285714286</v>
      </c>
      <c r="U28" s="11">
        <v>22</v>
      </c>
      <c r="V28" s="21">
        <f t="shared" si="8"/>
        <v>78.57142857142857</v>
      </c>
      <c r="W28" s="11">
        <v>21</v>
      </c>
      <c r="X28" s="23">
        <f t="shared" si="9"/>
        <v>75</v>
      </c>
      <c r="Y28" s="13">
        <v>1</v>
      </c>
      <c r="Z28" s="21">
        <f t="shared" si="10"/>
        <v>3.5714285714285716</v>
      </c>
      <c r="AA28" s="11">
        <v>2</v>
      </c>
      <c r="AB28" s="83">
        <f t="shared" si="11"/>
        <v>7.142857142857143</v>
      </c>
      <c r="AC28" s="13">
        <v>0</v>
      </c>
      <c r="AD28" s="52">
        <f t="shared" si="2"/>
        <v>0</v>
      </c>
      <c r="AE28" s="86">
        <v>1</v>
      </c>
      <c r="AF28" s="23">
        <f t="shared" si="12"/>
        <v>3.5714285714285716</v>
      </c>
      <c r="AG28" s="94">
        <v>0</v>
      </c>
      <c r="AH28" s="95">
        <f t="shared" si="3"/>
        <v>0</v>
      </c>
    </row>
    <row r="29" spans="1:34" ht="12.75">
      <c r="A29" s="15" t="s">
        <v>34</v>
      </c>
      <c r="B29" s="11">
        <v>350</v>
      </c>
      <c r="C29" s="34">
        <f>131+89+113</f>
        <v>333</v>
      </c>
      <c r="D29" s="13">
        <v>185</v>
      </c>
      <c r="E29" s="12">
        <f>84+54+57</f>
        <v>195</v>
      </c>
      <c r="F29" s="42">
        <v>12</v>
      </c>
      <c r="G29" s="13">
        <v>173</v>
      </c>
      <c r="H29" s="12">
        <f>78+49+54</f>
        <v>181</v>
      </c>
      <c r="I29" s="61">
        <v>29</v>
      </c>
      <c r="J29" s="62">
        <f t="shared" si="0"/>
        <v>16.76300578034682</v>
      </c>
      <c r="K29" s="63">
        <v>29</v>
      </c>
      <c r="L29" s="64">
        <f t="shared" si="4"/>
        <v>16.022099447513813</v>
      </c>
      <c r="M29" s="13">
        <v>6</v>
      </c>
      <c r="N29" s="21">
        <f t="shared" si="5"/>
        <v>3.468208092485549</v>
      </c>
      <c r="O29" s="11">
        <v>9</v>
      </c>
      <c r="P29" s="23">
        <f t="shared" si="6"/>
        <v>4.972375690607735</v>
      </c>
      <c r="Q29" s="13">
        <v>4</v>
      </c>
      <c r="R29" s="21">
        <f t="shared" si="7"/>
        <v>2.3121387283236996</v>
      </c>
      <c r="S29" s="11">
        <v>6</v>
      </c>
      <c r="T29" s="23">
        <f t="shared" si="1"/>
        <v>3.314917127071823</v>
      </c>
      <c r="U29" s="11">
        <v>49</v>
      </c>
      <c r="V29" s="21">
        <f t="shared" si="8"/>
        <v>28.32369942196532</v>
      </c>
      <c r="W29" s="11">
        <v>71</v>
      </c>
      <c r="X29" s="23">
        <f t="shared" si="9"/>
        <v>39.226519337016576</v>
      </c>
      <c r="Y29" s="13">
        <v>77</v>
      </c>
      <c r="Z29" s="21">
        <f t="shared" si="10"/>
        <v>44.50867052023121</v>
      </c>
      <c r="AA29" s="11">
        <v>64</v>
      </c>
      <c r="AB29" s="83">
        <f t="shared" si="11"/>
        <v>35.35911602209945</v>
      </c>
      <c r="AC29" s="13">
        <v>6</v>
      </c>
      <c r="AD29" s="52">
        <f t="shared" si="2"/>
        <v>3.468208092485549</v>
      </c>
      <c r="AE29" s="86">
        <v>2</v>
      </c>
      <c r="AF29" s="23">
        <f t="shared" si="12"/>
        <v>1.1049723756906078</v>
      </c>
      <c r="AG29" s="94">
        <v>2</v>
      </c>
      <c r="AH29" s="95">
        <f t="shared" si="3"/>
        <v>1.1560693641618498</v>
      </c>
    </row>
    <row r="30" spans="1:34" ht="12.75">
      <c r="A30" s="15" t="s">
        <v>35</v>
      </c>
      <c r="B30" s="11">
        <v>548</v>
      </c>
      <c r="C30" s="34">
        <f>19+233+111+243</f>
        <v>606</v>
      </c>
      <c r="D30" s="13">
        <v>290</v>
      </c>
      <c r="E30" s="12">
        <f>211+125</f>
        <v>336</v>
      </c>
      <c r="F30" s="42">
        <v>8</v>
      </c>
      <c r="G30" s="13">
        <v>282</v>
      </c>
      <c r="H30" s="12">
        <f>144+59+117</f>
        <v>320</v>
      </c>
      <c r="I30" s="61">
        <v>82</v>
      </c>
      <c r="J30" s="62">
        <f t="shared" si="0"/>
        <v>29.078014184397162</v>
      </c>
      <c r="K30" s="63">
        <v>77</v>
      </c>
      <c r="L30" s="64">
        <f t="shared" si="4"/>
        <v>24.0625</v>
      </c>
      <c r="M30" s="13">
        <v>51</v>
      </c>
      <c r="N30" s="21">
        <f t="shared" si="5"/>
        <v>18.085106382978722</v>
      </c>
      <c r="O30" s="11">
        <v>68</v>
      </c>
      <c r="P30" s="23">
        <f t="shared" si="6"/>
        <v>21.25</v>
      </c>
      <c r="Q30" s="13">
        <v>10</v>
      </c>
      <c r="R30" s="21">
        <f t="shared" si="7"/>
        <v>3.5460992907801416</v>
      </c>
      <c r="S30" s="11">
        <v>17</v>
      </c>
      <c r="T30" s="23">
        <f t="shared" si="1"/>
        <v>5.3125</v>
      </c>
      <c r="U30" s="11">
        <v>123</v>
      </c>
      <c r="V30" s="21">
        <f t="shared" si="8"/>
        <v>43.61702127659574</v>
      </c>
      <c r="W30" s="11">
        <f>98+46</f>
        <v>144</v>
      </c>
      <c r="X30" s="23">
        <f t="shared" si="9"/>
        <v>45</v>
      </c>
      <c r="Y30" s="13">
        <v>10</v>
      </c>
      <c r="Z30" s="21">
        <f t="shared" si="10"/>
        <v>3.5460992907801416</v>
      </c>
      <c r="AA30" s="11">
        <v>12</v>
      </c>
      <c r="AB30" s="83">
        <f t="shared" si="11"/>
        <v>3.75</v>
      </c>
      <c r="AC30" s="13">
        <v>4</v>
      </c>
      <c r="AD30" s="52">
        <f t="shared" si="2"/>
        <v>1.4184397163120568</v>
      </c>
      <c r="AE30" s="86">
        <v>2</v>
      </c>
      <c r="AF30" s="23">
        <f t="shared" si="12"/>
        <v>0.625</v>
      </c>
      <c r="AG30" s="94">
        <v>2</v>
      </c>
      <c r="AH30" s="95">
        <f t="shared" si="3"/>
        <v>0.7092198581560284</v>
      </c>
    </row>
    <row r="31" spans="1:34" ht="12.75">
      <c r="A31" s="15" t="s">
        <v>36</v>
      </c>
      <c r="B31" s="11">
        <v>931</v>
      </c>
      <c r="C31" s="34">
        <f>15+457+169+306</f>
        <v>947</v>
      </c>
      <c r="D31" s="13">
        <v>543</v>
      </c>
      <c r="E31" s="12">
        <f>268+99+178</f>
        <v>545</v>
      </c>
      <c r="F31" s="42">
        <v>36</v>
      </c>
      <c r="G31" s="13">
        <v>507</v>
      </c>
      <c r="H31" s="12">
        <f>251+91+160</f>
        <v>502</v>
      </c>
      <c r="I31" s="61">
        <v>196</v>
      </c>
      <c r="J31" s="62">
        <f t="shared" si="0"/>
        <v>38.658777120315584</v>
      </c>
      <c r="K31" s="63">
        <f>96+36+97</f>
        <v>229</v>
      </c>
      <c r="L31" s="64">
        <f t="shared" si="4"/>
        <v>45.61752988047809</v>
      </c>
      <c r="M31" s="13">
        <v>35</v>
      </c>
      <c r="N31" s="21">
        <f t="shared" si="5"/>
        <v>6.903353057199211</v>
      </c>
      <c r="O31" s="11">
        <v>28</v>
      </c>
      <c r="P31" s="23">
        <f t="shared" si="6"/>
        <v>5.577689243027889</v>
      </c>
      <c r="Q31" s="13">
        <v>23</v>
      </c>
      <c r="R31" s="21">
        <f t="shared" si="7"/>
        <v>4.536489151873767</v>
      </c>
      <c r="S31" s="11">
        <v>27</v>
      </c>
      <c r="T31" s="23">
        <f t="shared" si="1"/>
        <v>5.378486055776892</v>
      </c>
      <c r="U31" s="11">
        <v>219</v>
      </c>
      <c r="V31" s="21">
        <f t="shared" si="8"/>
        <v>43.19526627218935</v>
      </c>
      <c r="W31" s="11">
        <v>193</v>
      </c>
      <c r="X31" s="23">
        <f t="shared" si="9"/>
        <v>38.44621513944223</v>
      </c>
      <c r="Y31" s="13">
        <v>18</v>
      </c>
      <c r="Z31" s="21">
        <f t="shared" si="10"/>
        <v>3.5502958579881656</v>
      </c>
      <c r="AA31" s="11">
        <v>25</v>
      </c>
      <c r="AB31" s="83">
        <f t="shared" si="11"/>
        <v>4.9800796812749</v>
      </c>
      <c r="AC31" s="13">
        <v>7</v>
      </c>
      <c r="AD31" s="52">
        <f t="shared" si="2"/>
        <v>1.3806706114398422</v>
      </c>
      <c r="AE31" s="86">
        <v>0</v>
      </c>
      <c r="AF31" s="23">
        <f t="shared" si="12"/>
        <v>0</v>
      </c>
      <c r="AG31" s="94">
        <v>9</v>
      </c>
      <c r="AH31" s="95">
        <f t="shared" si="3"/>
        <v>1.7751479289940828</v>
      </c>
    </row>
    <row r="32" spans="1:34" ht="12.75">
      <c r="A32" s="15" t="s">
        <v>37</v>
      </c>
      <c r="B32" s="11">
        <v>1093</v>
      </c>
      <c r="C32" s="34">
        <f>27+415+213+397</f>
        <v>1052</v>
      </c>
      <c r="D32" s="13">
        <v>500</v>
      </c>
      <c r="E32" s="12">
        <f>228+118+196</f>
        <v>542</v>
      </c>
      <c r="F32" s="42">
        <v>30</v>
      </c>
      <c r="G32" s="13">
        <v>470</v>
      </c>
      <c r="H32" s="12">
        <f>215+112+180</f>
        <v>507</v>
      </c>
      <c r="I32" s="61">
        <v>100</v>
      </c>
      <c r="J32" s="62">
        <f t="shared" si="0"/>
        <v>21.27659574468085</v>
      </c>
      <c r="K32" s="63">
        <v>122</v>
      </c>
      <c r="L32" s="64">
        <f t="shared" si="4"/>
        <v>24.06311637080868</v>
      </c>
      <c r="M32" s="13">
        <v>52</v>
      </c>
      <c r="N32" s="21">
        <f t="shared" si="5"/>
        <v>11.063829787234043</v>
      </c>
      <c r="O32" s="11">
        <v>65</v>
      </c>
      <c r="P32" s="23">
        <f t="shared" si="6"/>
        <v>12.820512820512821</v>
      </c>
      <c r="Q32" s="13">
        <v>9</v>
      </c>
      <c r="R32" s="21">
        <f t="shared" si="7"/>
        <v>1.9148936170212767</v>
      </c>
      <c r="S32" s="11">
        <v>26</v>
      </c>
      <c r="T32" s="23">
        <f t="shared" si="1"/>
        <v>5.128205128205129</v>
      </c>
      <c r="U32" s="11">
        <v>258</v>
      </c>
      <c r="V32" s="21">
        <f t="shared" si="8"/>
        <v>54.8936170212766</v>
      </c>
      <c r="W32" s="11">
        <f>166+86</f>
        <v>252</v>
      </c>
      <c r="X32" s="23">
        <f t="shared" si="9"/>
        <v>49.70414201183432</v>
      </c>
      <c r="Y32" s="13">
        <v>32</v>
      </c>
      <c r="Z32" s="21">
        <f t="shared" si="10"/>
        <v>6.808510638297872</v>
      </c>
      <c r="AA32" s="11">
        <v>40</v>
      </c>
      <c r="AB32" s="83">
        <f t="shared" si="11"/>
        <v>7.889546351084813</v>
      </c>
      <c r="AC32" s="13">
        <v>12</v>
      </c>
      <c r="AD32" s="52">
        <f t="shared" si="2"/>
        <v>2.5531914893617023</v>
      </c>
      <c r="AE32" s="86">
        <v>3</v>
      </c>
      <c r="AF32" s="23">
        <f t="shared" si="12"/>
        <v>0.591715976331361</v>
      </c>
      <c r="AG32" s="94">
        <v>7</v>
      </c>
      <c r="AH32" s="95">
        <f t="shared" si="3"/>
        <v>1.4893617021276595</v>
      </c>
    </row>
    <row r="33" spans="1:34" ht="12.75">
      <c r="A33" s="15" t="s">
        <v>56</v>
      </c>
      <c r="B33" s="11"/>
      <c r="C33" s="45"/>
      <c r="D33" s="26"/>
      <c r="E33" s="47"/>
      <c r="F33" s="49"/>
      <c r="G33" s="26"/>
      <c r="H33" s="47"/>
      <c r="I33" s="66"/>
      <c r="J33" s="62"/>
      <c r="K33" s="74"/>
      <c r="L33" s="64"/>
      <c r="M33" s="26"/>
      <c r="N33" s="21"/>
      <c r="O33" s="25"/>
      <c r="P33" s="23"/>
      <c r="Q33" s="26"/>
      <c r="R33" s="21"/>
      <c r="S33" s="25"/>
      <c r="T33" s="23"/>
      <c r="U33" s="25"/>
      <c r="V33" s="21"/>
      <c r="W33" s="25"/>
      <c r="X33" s="23"/>
      <c r="Y33" s="26"/>
      <c r="Z33" s="21"/>
      <c r="AA33" s="25"/>
      <c r="AB33" s="83"/>
      <c r="AC33" s="13"/>
      <c r="AD33" s="52"/>
      <c r="AE33" s="86"/>
      <c r="AF33" s="23"/>
      <c r="AG33" s="94"/>
      <c r="AH33" s="95"/>
    </row>
    <row r="34" spans="1:34" ht="12.75">
      <c r="A34" s="24" t="s">
        <v>60</v>
      </c>
      <c r="B34" s="25">
        <v>16</v>
      </c>
      <c r="C34" s="45"/>
      <c r="D34" s="26">
        <v>10</v>
      </c>
      <c r="E34" s="47"/>
      <c r="F34" s="49">
        <v>1</v>
      </c>
      <c r="G34" s="26">
        <v>9</v>
      </c>
      <c r="H34" s="47"/>
      <c r="I34" s="66">
        <v>0</v>
      </c>
      <c r="J34" s="62">
        <f t="shared" si="0"/>
        <v>0</v>
      </c>
      <c r="K34" s="74"/>
      <c r="L34" s="64"/>
      <c r="M34" s="26">
        <v>0</v>
      </c>
      <c r="N34" s="21">
        <f t="shared" si="5"/>
        <v>0</v>
      </c>
      <c r="O34" s="25"/>
      <c r="P34" s="23"/>
      <c r="Q34" s="26">
        <v>0</v>
      </c>
      <c r="R34" s="21">
        <f t="shared" si="7"/>
        <v>0</v>
      </c>
      <c r="S34" s="25"/>
      <c r="T34" s="23"/>
      <c r="U34" s="25">
        <v>8</v>
      </c>
      <c r="V34" s="21">
        <f t="shared" si="8"/>
        <v>88.88888888888889</v>
      </c>
      <c r="W34" s="25"/>
      <c r="X34" s="23"/>
      <c r="Y34" s="26">
        <v>1</v>
      </c>
      <c r="Z34" s="21">
        <f t="shared" si="10"/>
        <v>11.11111111111111</v>
      </c>
      <c r="AA34" s="25"/>
      <c r="AB34" s="83"/>
      <c r="AC34" s="13">
        <v>0</v>
      </c>
      <c r="AD34" s="52">
        <f t="shared" si="2"/>
        <v>0</v>
      </c>
      <c r="AE34" s="86"/>
      <c r="AF34" s="23"/>
      <c r="AG34" s="94">
        <v>0</v>
      </c>
      <c r="AH34" s="95">
        <f t="shared" si="3"/>
        <v>0</v>
      </c>
    </row>
    <row r="35" spans="1:34" ht="12.75">
      <c r="A35" s="24" t="s">
        <v>61</v>
      </c>
      <c r="B35" s="25">
        <v>136</v>
      </c>
      <c r="C35" s="45">
        <v>111</v>
      </c>
      <c r="D35" s="26">
        <v>93</v>
      </c>
      <c r="E35" s="47">
        <v>76</v>
      </c>
      <c r="F35" s="49">
        <v>5</v>
      </c>
      <c r="G35" s="26">
        <v>88</v>
      </c>
      <c r="H35" s="47">
        <v>75</v>
      </c>
      <c r="I35" s="66">
        <v>12</v>
      </c>
      <c r="J35" s="62">
        <f t="shared" si="0"/>
        <v>13.636363636363637</v>
      </c>
      <c r="K35" s="74">
        <v>3</v>
      </c>
      <c r="L35" s="64">
        <f t="shared" si="4"/>
        <v>4</v>
      </c>
      <c r="M35" s="26">
        <v>1</v>
      </c>
      <c r="N35" s="21">
        <f t="shared" si="5"/>
        <v>1.1363636363636365</v>
      </c>
      <c r="O35" s="25">
        <v>2</v>
      </c>
      <c r="P35" s="23">
        <f t="shared" si="6"/>
        <v>2.6666666666666665</v>
      </c>
      <c r="Q35" s="26">
        <v>1</v>
      </c>
      <c r="R35" s="21">
        <f t="shared" si="7"/>
        <v>1.1363636363636365</v>
      </c>
      <c r="S35" s="25">
        <v>1</v>
      </c>
      <c r="T35" s="23">
        <f t="shared" si="1"/>
        <v>1.3333333333333333</v>
      </c>
      <c r="U35" s="25">
        <v>70</v>
      </c>
      <c r="V35" s="21">
        <f t="shared" si="8"/>
        <v>79.54545454545455</v>
      </c>
      <c r="W35" s="25">
        <v>63</v>
      </c>
      <c r="X35" s="23">
        <f t="shared" si="9"/>
        <v>84</v>
      </c>
      <c r="Y35" s="26">
        <v>3</v>
      </c>
      <c r="Z35" s="21">
        <f t="shared" si="10"/>
        <v>3.409090909090909</v>
      </c>
      <c r="AA35" s="25">
        <v>4</v>
      </c>
      <c r="AB35" s="83">
        <f t="shared" si="11"/>
        <v>5.333333333333333</v>
      </c>
      <c r="AC35" s="13">
        <v>1</v>
      </c>
      <c r="AD35" s="52">
        <f t="shared" si="2"/>
        <v>1.1363636363636365</v>
      </c>
      <c r="AE35" s="86">
        <v>2</v>
      </c>
      <c r="AF35" s="23">
        <f t="shared" si="12"/>
        <v>2.6666666666666665</v>
      </c>
      <c r="AG35" s="94">
        <v>0</v>
      </c>
      <c r="AH35" s="95">
        <f t="shared" si="3"/>
        <v>0</v>
      </c>
    </row>
    <row r="36" spans="1:34" ht="12.75">
      <c r="A36" s="24" t="s">
        <v>71</v>
      </c>
      <c r="B36" s="25">
        <v>12</v>
      </c>
      <c r="C36" s="45"/>
      <c r="D36" s="26">
        <v>7</v>
      </c>
      <c r="E36" s="47"/>
      <c r="F36" s="49">
        <v>0</v>
      </c>
      <c r="G36" s="26">
        <v>7</v>
      </c>
      <c r="H36" s="47"/>
      <c r="I36" s="66">
        <v>1</v>
      </c>
      <c r="J36" s="62">
        <f t="shared" si="0"/>
        <v>14.285714285714286</v>
      </c>
      <c r="K36" s="74"/>
      <c r="L36" s="64"/>
      <c r="M36" s="26">
        <v>1</v>
      </c>
      <c r="N36" s="21">
        <f t="shared" si="5"/>
        <v>14.285714285714286</v>
      </c>
      <c r="O36" s="25"/>
      <c r="P36" s="23"/>
      <c r="Q36" s="26">
        <v>0</v>
      </c>
      <c r="R36" s="21"/>
      <c r="S36" s="25"/>
      <c r="T36" s="23"/>
      <c r="U36" s="25">
        <v>4</v>
      </c>
      <c r="V36" s="21">
        <f t="shared" si="8"/>
        <v>57.142857142857146</v>
      </c>
      <c r="W36" s="25"/>
      <c r="X36" s="23"/>
      <c r="Y36" s="26">
        <v>1</v>
      </c>
      <c r="Z36" s="21">
        <f t="shared" si="10"/>
        <v>14.285714285714286</v>
      </c>
      <c r="AA36" s="25"/>
      <c r="AB36" s="83"/>
      <c r="AC36" s="13">
        <v>0</v>
      </c>
      <c r="AD36" s="52">
        <f t="shared" si="2"/>
        <v>0</v>
      </c>
      <c r="AE36" s="86"/>
      <c r="AF36" s="23"/>
      <c r="AG36" s="94">
        <v>0</v>
      </c>
      <c r="AH36" s="95">
        <f t="shared" si="3"/>
        <v>0</v>
      </c>
    </row>
    <row r="37" spans="1:34" ht="12.75">
      <c r="A37" s="15" t="s">
        <v>38</v>
      </c>
      <c r="B37" s="11"/>
      <c r="C37" s="34">
        <v>80</v>
      </c>
      <c r="D37" s="13"/>
      <c r="E37" s="12">
        <v>50</v>
      </c>
      <c r="F37" s="42"/>
      <c r="G37" s="13"/>
      <c r="H37" s="12">
        <v>44</v>
      </c>
      <c r="I37" s="78"/>
      <c r="J37" s="62"/>
      <c r="K37" s="63">
        <v>3</v>
      </c>
      <c r="L37" s="64">
        <f t="shared" si="4"/>
        <v>6.818181818181818</v>
      </c>
      <c r="M37" s="13"/>
      <c r="N37" s="21"/>
      <c r="O37" s="11">
        <v>1</v>
      </c>
      <c r="P37" s="23">
        <f t="shared" si="6"/>
        <v>2.272727272727273</v>
      </c>
      <c r="Q37" s="13"/>
      <c r="R37" s="21"/>
      <c r="S37" s="11">
        <v>0</v>
      </c>
      <c r="T37" s="23">
        <f t="shared" si="1"/>
        <v>0</v>
      </c>
      <c r="U37" s="13"/>
      <c r="V37" s="21"/>
      <c r="W37" s="11">
        <v>38</v>
      </c>
      <c r="X37" s="23">
        <f t="shared" si="9"/>
        <v>86.36363636363636</v>
      </c>
      <c r="Y37" s="13"/>
      <c r="Z37" s="21"/>
      <c r="AA37" s="11">
        <v>2</v>
      </c>
      <c r="AB37" s="83">
        <f t="shared" si="11"/>
        <v>4.545454545454546</v>
      </c>
      <c r="AC37" s="13"/>
      <c r="AD37" s="52"/>
      <c r="AE37" s="86">
        <v>0</v>
      </c>
      <c r="AF37" s="23">
        <f t="shared" si="12"/>
        <v>0</v>
      </c>
      <c r="AG37" s="94"/>
      <c r="AH37" s="95"/>
    </row>
    <row r="38" spans="1:34" ht="13.5" thickBot="1">
      <c r="A38" s="16"/>
      <c r="B38" s="27"/>
      <c r="C38" s="46"/>
      <c r="D38" s="28"/>
      <c r="E38" s="48"/>
      <c r="F38" s="50"/>
      <c r="G38" s="28"/>
      <c r="H38" s="48"/>
      <c r="I38" s="76"/>
      <c r="J38" s="77"/>
      <c r="K38" s="65"/>
      <c r="L38" s="68"/>
      <c r="M38" s="44"/>
      <c r="N38" s="29"/>
      <c r="O38" s="17"/>
      <c r="P38" s="35"/>
      <c r="Q38" s="44"/>
      <c r="R38" s="29"/>
      <c r="S38" s="17"/>
      <c r="T38" s="35"/>
      <c r="U38" s="17"/>
      <c r="V38" s="29"/>
      <c r="W38" s="17"/>
      <c r="X38" s="35"/>
      <c r="Y38" s="44"/>
      <c r="Z38" s="29"/>
      <c r="AA38" s="17"/>
      <c r="AB38" s="84"/>
      <c r="AC38" s="26"/>
      <c r="AD38" s="53"/>
      <c r="AE38" s="96"/>
      <c r="AF38" s="35"/>
      <c r="AG38" s="97"/>
      <c r="AH38" s="98"/>
    </row>
    <row r="39" spans="1:34" ht="13.5" thickBot="1">
      <c r="A39" s="3" t="s">
        <v>39</v>
      </c>
      <c r="B39" s="18">
        <f>SUM(B6:B37)</f>
        <v>17438</v>
      </c>
      <c r="C39" s="32">
        <f aca="true" t="shared" si="13" ref="C39:I39">SUM(C6:C37)</f>
        <v>17565</v>
      </c>
      <c r="D39" s="33">
        <f t="shared" si="13"/>
        <v>8958</v>
      </c>
      <c r="E39" s="19">
        <f t="shared" si="13"/>
        <v>9484</v>
      </c>
      <c r="F39" s="43">
        <f t="shared" si="13"/>
        <v>579</v>
      </c>
      <c r="G39" s="33">
        <f t="shared" si="13"/>
        <v>8379</v>
      </c>
      <c r="H39" s="19">
        <f t="shared" si="13"/>
        <v>8813</v>
      </c>
      <c r="I39" s="69">
        <f t="shared" si="13"/>
        <v>2011</v>
      </c>
      <c r="J39" s="70">
        <f>((I39*100)/G39)</f>
        <v>24.00047738393603</v>
      </c>
      <c r="K39" s="71">
        <f>SUM(K6:K37)</f>
        <v>2287</v>
      </c>
      <c r="L39" s="72">
        <f t="shared" si="4"/>
        <v>25.95030069215931</v>
      </c>
      <c r="M39" s="33">
        <f>SUM(M6:M37)</f>
        <v>841</v>
      </c>
      <c r="N39" s="22">
        <f t="shared" si="5"/>
        <v>10.036997255042367</v>
      </c>
      <c r="O39" s="18">
        <f>SUM(O6:O37)</f>
        <v>985</v>
      </c>
      <c r="P39" s="36">
        <f t="shared" si="6"/>
        <v>11.17667082718711</v>
      </c>
      <c r="Q39" s="33">
        <f>SUM(Q6:Q37)</f>
        <v>471</v>
      </c>
      <c r="R39" s="22">
        <f t="shared" si="7"/>
        <v>5.621195846759757</v>
      </c>
      <c r="S39" s="18">
        <f>SUM(S6:S37)</f>
        <v>667</v>
      </c>
      <c r="T39" s="36">
        <f t="shared" si="1"/>
        <v>7.568364915465789</v>
      </c>
      <c r="U39" s="33">
        <f>SUM(U6:U37)</f>
        <v>3897</v>
      </c>
      <c r="V39" s="22">
        <f t="shared" si="8"/>
        <v>46.50912996777659</v>
      </c>
      <c r="W39" s="18">
        <f>SUM(W6:W37)</f>
        <v>3949</v>
      </c>
      <c r="X39" s="36">
        <f t="shared" si="9"/>
        <v>44.808805174174516</v>
      </c>
      <c r="Y39" s="33">
        <f>SUM(Y6:Y37)</f>
        <v>788</v>
      </c>
      <c r="Z39" s="22">
        <f t="shared" si="10"/>
        <v>9.404463539801887</v>
      </c>
      <c r="AA39" s="18">
        <f>SUM(AA6:AA37)</f>
        <v>848</v>
      </c>
      <c r="AB39" s="85">
        <f t="shared" si="11"/>
        <v>9.622149097923522</v>
      </c>
      <c r="AC39" s="33">
        <f>SUM(AC6:AC37)</f>
        <v>147</v>
      </c>
      <c r="AD39" s="100">
        <f t="shared" si="2"/>
        <v>1.7543859649122806</v>
      </c>
      <c r="AE39" s="99">
        <v>91</v>
      </c>
      <c r="AF39" s="36">
        <f t="shared" si="12"/>
        <v>1.0325655281969817</v>
      </c>
      <c r="AG39" s="33">
        <f>SUM(AG6:AG37)</f>
        <v>224</v>
      </c>
      <c r="AH39" s="36">
        <f t="shared" si="3"/>
        <v>2.6733500417710943</v>
      </c>
    </row>
  </sheetData>
  <mergeCells count="6">
    <mergeCell ref="B4:C4"/>
    <mergeCell ref="D4:E4"/>
    <mergeCell ref="G4:H4"/>
    <mergeCell ref="AG4:AH4"/>
    <mergeCell ref="Y4:AB4"/>
    <mergeCell ref="AC4:AF4"/>
  </mergeCells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AD40"/>
  <sheetViews>
    <sheetView workbookViewId="0" topLeftCell="H10">
      <selection activeCell="AC19" sqref="AC19"/>
    </sheetView>
  </sheetViews>
  <sheetFormatPr defaultColWidth="11.421875" defaultRowHeight="12.75"/>
  <cols>
    <col min="1" max="1" width="10.7109375" style="0" bestFit="1" customWidth="1"/>
    <col min="2" max="5" width="4.421875" style="0" bestFit="1" customWidth="1"/>
    <col min="6" max="6" width="4.8515625" style="0" bestFit="1" customWidth="1"/>
    <col min="7" max="9" width="4.421875" style="0" bestFit="1" customWidth="1"/>
    <col min="10" max="10" width="7.28125" style="0" bestFit="1" customWidth="1"/>
    <col min="11" max="11" width="4.421875" style="0" bestFit="1" customWidth="1"/>
    <col min="12" max="12" width="8.00390625" style="0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8.140625" style="0" bestFit="1" customWidth="1"/>
    <col min="19" max="19" width="4.421875" style="0" bestFit="1" customWidth="1"/>
    <col min="20" max="20" width="7.28125" style="0" bestFit="1" customWidth="1"/>
    <col min="21" max="21" width="4.421875" style="0" bestFit="1" customWidth="1"/>
    <col min="22" max="22" width="8.140625" style="0" bestFit="1" customWidth="1"/>
    <col min="23" max="23" width="4.421875" style="0" bestFit="1" customWidth="1"/>
    <col min="24" max="24" width="8.28125" style="0" customWidth="1"/>
    <col min="25" max="25" width="4.421875" style="0" bestFit="1" customWidth="1"/>
    <col min="26" max="26" width="7.28125" style="0" customWidth="1"/>
    <col min="27" max="27" width="4.421875" style="0" bestFit="1" customWidth="1"/>
    <col min="28" max="28" width="7.28125" style="0" bestFit="1" customWidth="1"/>
    <col min="29" max="29" width="4.421875" style="0" bestFit="1" customWidth="1"/>
    <col min="30" max="30" width="6.421875" style="0" bestFit="1" customWidth="1"/>
  </cols>
  <sheetData>
    <row r="1" spans="1:28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9"/>
      <c r="I4" s="57" t="s">
        <v>1</v>
      </c>
      <c r="J4" s="57"/>
      <c r="K4" s="57"/>
      <c r="L4" s="57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4"/>
      <c r="Y4" s="4" t="s">
        <v>4</v>
      </c>
      <c r="Z4" s="4"/>
      <c r="AA4" s="4"/>
      <c r="AB4" s="31"/>
      <c r="AC4" s="115" t="s">
        <v>69</v>
      </c>
      <c r="AD4" s="116"/>
    </row>
    <row r="5" spans="1:30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6">
        <v>2005</v>
      </c>
      <c r="I5" s="73">
        <v>2008</v>
      </c>
      <c r="J5" s="59" t="s">
        <v>9</v>
      </c>
      <c r="K5" s="59">
        <v>2005</v>
      </c>
      <c r="L5" s="60" t="s">
        <v>9</v>
      </c>
      <c r="M5" s="7">
        <v>2008</v>
      </c>
      <c r="N5" s="8" t="s">
        <v>9</v>
      </c>
      <c r="O5" s="8">
        <v>2005</v>
      </c>
      <c r="P5" s="9" t="s">
        <v>9</v>
      </c>
      <c r="Q5" s="7">
        <v>2008</v>
      </c>
      <c r="R5" s="8" t="s">
        <v>9</v>
      </c>
      <c r="S5" s="8">
        <v>2005</v>
      </c>
      <c r="T5" s="9" t="s">
        <v>9</v>
      </c>
      <c r="U5" s="8">
        <v>2008</v>
      </c>
      <c r="V5" s="8" t="s">
        <v>9</v>
      </c>
      <c r="W5" s="8">
        <v>2005</v>
      </c>
      <c r="X5" s="9" t="s">
        <v>9</v>
      </c>
      <c r="Y5" s="7">
        <v>2008</v>
      </c>
      <c r="Z5" s="8" t="s">
        <v>9</v>
      </c>
      <c r="AA5" s="8">
        <v>2005</v>
      </c>
      <c r="AB5" s="79" t="s">
        <v>9</v>
      </c>
      <c r="AC5" s="33">
        <v>2008</v>
      </c>
      <c r="AD5" s="9" t="s">
        <v>9</v>
      </c>
    </row>
    <row r="6" spans="1:30" ht="12.75">
      <c r="A6" s="10" t="s">
        <v>10</v>
      </c>
      <c r="B6" s="11">
        <v>414</v>
      </c>
      <c r="C6" s="34">
        <f>18+355</f>
        <v>373</v>
      </c>
      <c r="D6" s="13">
        <v>253</v>
      </c>
      <c r="E6" s="12">
        <f>17+199</f>
        <v>216</v>
      </c>
      <c r="F6" s="42">
        <v>15</v>
      </c>
      <c r="G6" s="13">
        <v>238</v>
      </c>
      <c r="H6" s="12">
        <v>199</v>
      </c>
      <c r="I6" s="78">
        <v>59</v>
      </c>
      <c r="J6" s="62">
        <f>IF(I6&gt;0,(I6*100)/G6,"")</f>
        <v>24.789915966386555</v>
      </c>
      <c r="K6" s="63">
        <v>48</v>
      </c>
      <c r="L6" s="64">
        <f>IF(K6&gt;0,(K6*100)/H6,"")</f>
        <v>24.12060301507538</v>
      </c>
      <c r="M6" s="13">
        <v>16</v>
      </c>
      <c r="N6" s="21">
        <f>IF(M6&gt;0,(M6*100)/G6,"")</f>
        <v>6.722689075630252</v>
      </c>
      <c r="O6" s="11">
        <v>30</v>
      </c>
      <c r="P6" s="23">
        <f>IF(O6&gt;0,(O6*100)/H6,"")</f>
        <v>15.075376884422111</v>
      </c>
      <c r="Q6" s="13">
        <v>1</v>
      </c>
      <c r="R6" s="21">
        <f>IF(Q6&gt;0,(Q6*100)/G6,"")</f>
        <v>0.42016806722689076</v>
      </c>
      <c r="S6" s="11">
        <v>6</v>
      </c>
      <c r="T6" s="23">
        <f>IF(S6&gt;0,(S6*100)/H6,"")</f>
        <v>3.0150753768844223</v>
      </c>
      <c r="U6" s="11">
        <v>128</v>
      </c>
      <c r="V6" s="21">
        <f>IF(U6&gt;0,(U6*100)/G6,"")</f>
        <v>53.78151260504202</v>
      </c>
      <c r="W6" s="11">
        <v>94</v>
      </c>
      <c r="X6" s="23">
        <f>IF(W6&gt;0,(W6*100)/H6,"")</f>
        <v>47.23618090452261</v>
      </c>
      <c r="Y6" s="13">
        <v>28</v>
      </c>
      <c r="Z6" s="21">
        <f>IF(Y6&gt;0,(Y6*100)/G6,"")</f>
        <v>11.764705882352942</v>
      </c>
      <c r="AA6" s="11">
        <v>16</v>
      </c>
      <c r="AB6" s="83">
        <f>IF(AA6&gt;0,(AA6*100)/H6,"")</f>
        <v>8.040201005025125</v>
      </c>
      <c r="AC6" s="28">
        <v>6</v>
      </c>
      <c r="AD6" s="81">
        <f aca="true" t="shared" si="0" ref="AD6:AD27">IF(AC6&gt;0,(AC6*100)/G6,"")</f>
        <v>2.5210084033613445</v>
      </c>
    </row>
    <row r="7" spans="1:30" ht="12.75">
      <c r="A7" s="15" t="s">
        <v>11</v>
      </c>
      <c r="B7" s="11">
        <v>116</v>
      </c>
      <c r="C7" s="34">
        <f>11+108</f>
        <v>119</v>
      </c>
      <c r="D7" s="13">
        <v>82</v>
      </c>
      <c r="E7" s="12">
        <v>67</v>
      </c>
      <c r="F7" s="42">
        <v>6</v>
      </c>
      <c r="G7" s="13">
        <v>76</v>
      </c>
      <c r="H7" s="12">
        <v>63</v>
      </c>
      <c r="I7" s="78">
        <v>10</v>
      </c>
      <c r="J7" s="62">
        <f aca="true" t="shared" si="1" ref="J7:J40">IF(I7&gt;0,(I7*100)/G7,"")</f>
        <v>13.157894736842104</v>
      </c>
      <c r="K7" s="63">
        <v>9</v>
      </c>
      <c r="L7" s="64">
        <f aca="true" t="shared" si="2" ref="L7:L40">IF(K7&gt;0,(K7*100)/H7,"")</f>
        <v>14.285714285714286</v>
      </c>
      <c r="M7" s="13">
        <v>0</v>
      </c>
      <c r="N7" s="21">
        <f aca="true" t="shared" si="3" ref="N7:N40">IF(M7&gt;0,(M7*100)/G7,"")</f>
      </c>
      <c r="O7" s="11">
        <v>5</v>
      </c>
      <c r="P7" s="23">
        <f aca="true" t="shared" si="4" ref="P7:P40">IF(O7&gt;0,(O7*100)/H7,"")</f>
        <v>7.936507936507937</v>
      </c>
      <c r="Q7" s="13">
        <v>1</v>
      </c>
      <c r="R7" s="21">
        <f aca="true" t="shared" si="5" ref="R7:R40">IF(Q7&gt;0,(Q7*100)/G7,"")</f>
        <v>1.3157894736842106</v>
      </c>
      <c r="S7" s="11">
        <v>1</v>
      </c>
      <c r="T7" s="23">
        <f aca="true" t="shared" si="6" ref="T7:T40">IF(S7&gt;0,(S7*100)/H7,"")</f>
        <v>1.5873015873015872</v>
      </c>
      <c r="U7" s="11">
        <v>45</v>
      </c>
      <c r="V7" s="21">
        <f aca="true" t="shared" si="7" ref="V7:V40">IF(U7&gt;0,(U7*100)/G7,"")</f>
        <v>59.21052631578947</v>
      </c>
      <c r="W7" s="11">
        <v>31</v>
      </c>
      <c r="X7" s="23">
        <f aca="true" t="shared" si="8" ref="X7:X40">IF(W7&gt;0,(W7*100)/H7,"")</f>
        <v>49.20634920634921</v>
      </c>
      <c r="Y7" s="13">
        <v>19</v>
      </c>
      <c r="Z7" s="21">
        <f aca="true" t="shared" si="9" ref="Z7:Z40">IF(Y7&gt;0,(Y7*100)/G7,"")</f>
        <v>25</v>
      </c>
      <c r="AA7" s="11">
        <v>17</v>
      </c>
      <c r="AB7" s="83">
        <f aca="true" t="shared" si="10" ref="AB7:AB40">IF(AA7&gt;0,(AA7*100)/H7,"")</f>
        <v>26.984126984126984</v>
      </c>
      <c r="AC7" s="13">
        <v>1</v>
      </c>
      <c r="AD7" s="23">
        <f t="shared" si="0"/>
        <v>1.3157894736842106</v>
      </c>
    </row>
    <row r="8" spans="1:30" ht="12.75">
      <c r="A8" s="15" t="s">
        <v>13</v>
      </c>
      <c r="B8" s="11">
        <v>134</v>
      </c>
      <c r="C8" s="34">
        <v>116</v>
      </c>
      <c r="D8" s="13">
        <v>72</v>
      </c>
      <c r="E8" s="12">
        <v>60</v>
      </c>
      <c r="F8" s="42">
        <v>4</v>
      </c>
      <c r="G8" s="13">
        <v>68</v>
      </c>
      <c r="H8" s="12">
        <v>55</v>
      </c>
      <c r="I8" s="78">
        <v>14</v>
      </c>
      <c r="J8" s="62">
        <f t="shared" si="1"/>
        <v>20.58823529411765</v>
      </c>
      <c r="K8" s="63">
        <v>16</v>
      </c>
      <c r="L8" s="64">
        <f t="shared" si="2"/>
        <v>29.09090909090909</v>
      </c>
      <c r="M8" s="13">
        <v>2</v>
      </c>
      <c r="N8" s="21">
        <f t="shared" si="3"/>
        <v>2.9411764705882355</v>
      </c>
      <c r="O8" s="11">
        <v>2</v>
      </c>
      <c r="P8" s="23">
        <f t="shared" si="4"/>
        <v>3.6363636363636362</v>
      </c>
      <c r="Q8" s="13">
        <v>8</v>
      </c>
      <c r="R8" s="21">
        <f t="shared" si="5"/>
        <v>11.764705882352942</v>
      </c>
      <c r="S8" s="11">
        <v>4</v>
      </c>
      <c r="T8" s="23">
        <f t="shared" si="6"/>
        <v>7.2727272727272725</v>
      </c>
      <c r="U8" s="11">
        <v>39</v>
      </c>
      <c r="V8" s="21">
        <f t="shared" si="7"/>
        <v>57.35294117647059</v>
      </c>
      <c r="W8" s="11">
        <v>29</v>
      </c>
      <c r="X8" s="23">
        <f t="shared" si="8"/>
        <v>52.72727272727273</v>
      </c>
      <c r="Y8" s="13">
        <v>3</v>
      </c>
      <c r="Z8" s="21">
        <f t="shared" si="9"/>
        <v>4.411764705882353</v>
      </c>
      <c r="AA8" s="11">
        <v>4</v>
      </c>
      <c r="AB8" s="83">
        <f t="shared" si="10"/>
        <v>7.2727272727272725</v>
      </c>
      <c r="AC8" s="13">
        <v>2</v>
      </c>
      <c r="AD8" s="23">
        <f t="shared" si="0"/>
        <v>2.9411764705882355</v>
      </c>
    </row>
    <row r="9" spans="1:30" ht="12.75">
      <c r="A9" s="15" t="s">
        <v>14</v>
      </c>
      <c r="B9" s="11">
        <v>387</v>
      </c>
      <c r="C9" s="34">
        <v>352</v>
      </c>
      <c r="D9" s="13">
        <v>240</v>
      </c>
      <c r="E9" s="12">
        <v>198</v>
      </c>
      <c r="F9" s="42">
        <v>8</v>
      </c>
      <c r="G9" s="13">
        <v>232</v>
      </c>
      <c r="H9" s="12">
        <v>188</v>
      </c>
      <c r="I9" s="78">
        <v>61</v>
      </c>
      <c r="J9" s="62">
        <f t="shared" si="1"/>
        <v>26.29310344827586</v>
      </c>
      <c r="K9" s="63">
        <v>39</v>
      </c>
      <c r="L9" s="64">
        <f t="shared" si="2"/>
        <v>20.74468085106383</v>
      </c>
      <c r="M9" s="13">
        <v>5</v>
      </c>
      <c r="N9" s="21">
        <f t="shared" si="3"/>
        <v>2.1551724137931036</v>
      </c>
      <c r="O9" s="11">
        <v>5</v>
      </c>
      <c r="P9" s="23">
        <f t="shared" si="4"/>
        <v>2.6595744680851063</v>
      </c>
      <c r="Q9" s="13">
        <v>19</v>
      </c>
      <c r="R9" s="21">
        <f t="shared" si="5"/>
        <v>8.189655172413794</v>
      </c>
      <c r="S9" s="11">
        <v>14</v>
      </c>
      <c r="T9" s="23">
        <f t="shared" si="6"/>
        <v>7.446808510638298</v>
      </c>
      <c r="U9" s="11">
        <v>114</v>
      </c>
      <c r="V9" s="21">
        <f t="shared" si="7"/>
        <v>49.13793103448276</v>
      </c>
      <c r="W9" s="11">
        <v>124</v>
      </c>
      <c r="X9" s="23">
        <f t="shared" si="8"/>
        <v>65.95744680851064</v>
      </c>
      <c r="Y9" s="13">
        <v>23</v>
      </c>
      <c r="Z9" s="21">
        <f t="shared" si="9"/>
        <v>9.913793103448276</v>
      </c>
      <c r="AA9" s="11">
        <v>6</v>
      </c>
      <c r="AB9" s="83">
        <f t="shared" si="10"/>
        <v>3.1914893617021276</v>
      </c>
      <c r="AC9" s="13">
        <v>10</v>
      </c>
      <c r="AD9" s="23">
        <f t="shared" si="0"/>
        <v>4.310344827586207</v>
      </c>
    </row>
    <row r="10" spans="1:30" ht="12.75">
      <c r="A10" s="15" t="s">
        <v>15</v>
      </c>
      <c r="B10" s="11">
        <v>130</v>
      </c>
      <c r="C10" s="34">
        <v>121</v>
      </c>
      <c r="D10" s="13">
        <v>54</v>
      </c>
      <c r="E10" s="12">
        <v>53</v>
      </c>
      <c r="F10" s="42">
        <v>7</v>
      </c>
      <c r="G10" s="13">
        <v>47</v>
      </c>
      <c r="H10" s="12">
        <v>52</v>
      </c>
      <c r="I10" s="78">
        <v>6</v>
      </c>
      <c r="J10" s="62">
        <f t="shared" si="1"/>
        <v>12.76595744680851</v>
      </c>
      <c r="K10" s="63">
        <v>4</v>
      </c>
      <c r="L10" s="64">
        <f t="shared" si="2"/>
        <v>7.6923076923076925</v>
      </c>
      <c r="M10" s="13">
        <v>2</v>
      </c>
      <c r="N10" s="21">
        <f t="shared" si="3"/>
        <v>4.25531914893617</v>
      </c>
      <c r="O10" s="11">
        <v>3</v>
      </c>
      <c r="P10" s="23">
        <f t="shared" si="4"/>
        <v>5.769230769230769</v>
      </c>
      <c r="Q10" s="13">
        <v>20</v>
      </c>
      <c r="R10" s="21">
        <f t="shared" si="5"/>
        <v>42.5531914893617</v>
      </c>
      <c r="S10" s="11">
        <v>27</v>
      </c>
      <c r="T10" s="23">
        <f t="shared" si="6"/>
        <v>51.92307692307692</v>
      </c>
      <c r="U10" s="11">
        <v>9</v>
      </c>
      <c r="V10" s="21">
        <f t="shared" si="7"/>
        <v>19.148936170212767</v>
      </c>
      <c r="W10" s="11">
        <v>10</v>
      </c>
      <c r="X10" s="23">
        <f t="shared" si="8"/>
        <v>19.23076923076923</v>
      </c>
      <c r="Y10" s="13">
        <v>9</v>
      </c>
      <c r="Z10" s="21">
        <f t="shared" si="9"/>
        <v>19.148936170212767</v>
      </c>
      <c r="AA10" s="11">
        <v>8</v>
      </c>
      <c r="AB10" s="83">
        <f t="shared" si="10"/>
        <v>15.384615384615385</v>
      </c>
      <c r="AC10" s="13">
        <v>1</v>
      </c>
      <c r="AD10" s="23">
        <f t="shared" si="0"/>
        <v>2.127659574468085</v>
      </c>
    </row>
    <row r="11" spans="1:30" ht="12.75">
      <c r="A11" s="15" t="s">
        <v>16</v>
      </c>
      <c r="B11" s="11">
        <v>164</v>
      </c>
      <c r="C11" s="34">
        <v>149</v>
      </c>
      <c r="D11" s="13">
        <v>106</v>
      </c>
      <c r="E11" s="12">
        <v>96</v>
      </c>
      <c r="F11" s="42">
        <v>6</v>
      </c>
      <c r="G11" s="13">
        <v>100</v>
      </c>
      <c r="H11" s="12">
        <v>94</v>
      </c>
      <c r="I11" s="78">
        <v>3</v>
      </c>
      <c r="J11" s="62">
        <f t="shared" si="1"/>
        <v>3</v>
      </c>
      <c r="K11" s="63">
        <v>7</v>
      </c>
      <c r="L11" s="64">
        <f t="shared" si="2"/>
        <v>7.446808510638298</v>
      </c>
      <c r="M11" s="13">
        <v>3</v>
      </c>
      <c r="N11" s="21">
        <f t="shared" si="3"/>
        <v>3</v>
      </c>
      <c r="O11" s="11">
        <v>2</v>
      </c>
      <c r="P11" s="23">
        <f t="shared" si="4"/>
        <v>2.127659574468085</v>
      </c>
      <c r="Q11" s="13">
        <v>2</v>
      </c>
      <c r="R11" s="21">
        <f t="shared" si="5"/>
        <v>2</v>
      </c>
      <c r="S11" s="11">
        <v>4</v>
      </c>
      <c r="T11" s="23">
        <f t="shared" si="6"/>
        <v>4.25531914893617</v>
      </c>
      <c r="U11" s="11">
        <v>88</v>
      </c>
      <c r="V11" s="21">
        <f t="shared" si="7"/>
        <v>88</v>
      </c>
      <c r="W11" s="11">
        <v>77</v>
      </c>
      <c r="X11" s="23">
        <f t="shared" si="8"/>
        <v>81.91489361702128</v>
      </c>
      <c r="Y11" s="13">
        <v>2</v>
      </c>
      <c r="Z11" s="21">
        <f t="shared" si="9"/>
        <v>2</v>
      </c>
      <c r="AA11" s="11">
        <v>4</v>
      </c>
      <c r="AB11" s="83">
        <f t="shared" si="10"/>
        <v>4.25531914893617</v>
      </c>
      <c r="AC11" s="13">
        <v>2</v>
      </c>
      <c r="AD11" s="23">
        <f t="shared" si="0"/>
        <v>2</v>
      </c>
    </row>
    <row r="12" spans="1:30" ht="12.75">
      <c r="A12" s="15" t="s">
        <v>57</v>
      </c>
      <c r="B12" s="11">
        <v>24</v>
      </c>
      <c r="C12" s="34">
        <v>23</v>
      </c>
      <c r="D12" s="13">
        <v>8</v>
      </c>
      <c r="E12" s="12">
        <v>14</v>
      </c>
      <c r="F12" s="42">
        <v>1</v>
      </c>
      <c r="G12" s="13">
        <v>7</v>
      </c>
      <c r="H12" s="12">
        <v>14</v>
      </c>
      <c r="I12" s="78">
        <v>2</v>
      </c>
      <c r="J12" s="62">
        <f t="shared" si="1"/>
        <v>28.571428571428573</v>
      </c>
      <c r="K12" s="63">
        <v>1</v>
      </c>
      <c r="L12" s="64">
        <f t="shared" si="2"/>
        <v>7.142857142857143</v>
      </c>
      <c r="M12" s="13">
        <v>0</v>
      </c>
      <c r="N12" s="21">
        <f t="shared" si="3"/>
      </c>
      <c r="O12" s="11">
        <v>3</v>
      </c>
      <c r="P12" s="23">
        <f t="shared" si="4"/>
        <v>21.428571428571427</v>
      </c>
      <c r="Q12" s="13">
        <v>2</v>
      </c>
      <c r="R12" s="21">
        <f t="shared" si="5"/>
        <v>28.571428571428573</v>
      </c>
      <c r="S12" s="11">
        <v>1</v>
      </c>
      <c r="T12" s="23">
        <f t="shared" si="6"/>
        <v>7.142857142857143</v>
      </c>
      <c r="U12" s="11">
        <v>3</v>
      </c>
      <c r="V12" s="21">
        <f t="shared" si="7"/>
        <v>42.857142857142854</v>
      </c>
      <c r="W12" s="11">
        <v>6</v>
      </c>
      <c r="X12" s="23">
        <f t="shared" si="8"/>
        <v>42.857142857142854</v>
      </c>
      <c r="Y12" s="13">
        <v>0</v>
      </c>
      <c r="Z12" s="21">
        <f t="shared" si="9"/>
      </c>
      <c r="AA12" s="11">
        <v>3</v>
      </c>
      <c r="AB12" s="83">
        <f t="shared" si="10"/>
        <v>21.428571428571427</v>
      </c>
      <c r="AC12" s="13">
        <v>0</v>
      </c>
      <c r="AD12" s="23">
        <f t="shared" si="0"/>
      </c>
    </row>
    <row r="13" spans="1:30" ht="12.75">
      <c r="A13" s="15" t="s">
        <v>18</v>
      </c>
      <c r="B13" s="11">
        <v>331</v>
      </c>
      <c r="C13" s="34">
        <v>298</v>
      </c>
      <c r="D13" s="13">
        <v>142</v>
      </c>
      <c r="E13" s="12">
        <v>147</v>
      </c>
      <c r="F13" s="42">
        <v>8</v>
      </c>
      <c r="G13" s="13">
        <v>134</v>
      </c>
      <c r="H13" s="12">
        <v>142</v>
      </c>
      <c r="I13" s="78">
        <v>25</v>
      </c>
      <c r="J13" s="62">
        <f t="shared" si="1"/>
        <v>18.65671641791045</v>
      </c>
      <c r="K13" s="63">
        <v>31</v>
      </c>
      <c r="L13" s="64">
        <f t="shared" si="2"/>
        <v>21.830985915492956</v>
      </c>
      <c r="M13" s="13">
        <v>15</v>
      </c>
      <c r="N13" s="21">
        <f t="shared" si="3"/>
        <v>11.194029850746269</v>
      </c>
      <c r="O13" s="11">
        <v>16</v>
      </c>
      <c r="P13" s="23">
        <f t="shared" si="4"/>
        <v>11.267605633802816</v>
      </c>
      <c r="Q13" s="13">
        <v>21</v>
      </c>
      <c r="R13" s="21">
        <f t="shared" si="5"/>
        <v>15.671641791044776</v>
      </c>
      <c r="S13" s="11">
        <v>43</v>
      </c>
      <c r="T13" s="23">
        <f t="shared" si="6"/>
        <v>30.281690140845072</v>
      </c>
      <c r="U13" s="11">
        <v>53</v>
      </c>
      <c r="V13" s="21">
        <f t="shared" si="7"/>
        <v>39.55223880597015</v>
      </c>
      <c r="W13" s="11">
        <v>38</v>
      </c>
      <c r="X13" s="23">
        <f t="shared" si="8"/>
        <v>26.760563380281692</v>
      </c>
      <c r="Y13" s="13">
        <v>11</v>
      </c>
      <c r="Z13" s="21">
        <f t="shared" si="9"/>
        <v>8.208955223880597</v>
      </c>
      <c r="AA13" s="11">
        <v>14</v>
      </c>
      <c r="AB13" s="83">
        <f t="shared" si="10"/>
        <v>9.859154929577464</v>
      </c>
      <c r="AC13" s="13">
        <v>9</v>
      </c>
      <c r="AD13" s="23">
        <f t="shared" si="0"/>
        <v>6.7164179104477615</v>
      </c>
    </row>
    <row r="14" spans="1:30" ht="12.75">
      <c r="A14" s="15" t="s">
        <v>19</v>
      </c>
      <c r="B14" s="11">
        <v>119</v>
      </c>
      <c r="C14" s="34">
        <v>121</v>
      </c>
      <c r="D14" s="13">
        <v>63</v>
      </c>
      <c r="E14" s="12">
        <v>63</v>
      </c>
      <c r="F14" s="42">
        <v>5</v>
      </c>
      <c r="G14" s="13">
        <v>58</v>
      </c>
      <c r="H14" s="12">
        <v>56</v>
      </c>
      <c r="I14" s="78">
        <v>3</v>
      </c>
      <c r="J14" s="62">
        <f t="shared" si="1"/>
        <v>5.172413793103448</v>
      </c>
      <c r="K14" s="63">
        <v>8</v>
      </c>
      <c r="L14" s="64">
        <f t="shared" si="2"/>
        <v>14.285714285714286</v>
      </c>
      <c r="M14" s="13">
        <v>0</v>
      </c>
      <c r="N14" s="21">
        <f t="shared" si="3"/>
      </c>
      <c r="O14" s="11">
        <v>3</v>
      </c>
      <c r="P14" s="23">
        <f t="shared" si="4"/>
        <v>5.357142857142857</v>
      </c>
      <c r="Q14" s="13">
        <v>4</v>
      </c>
      <c r="R14" s="21">
        <f t="shared" si="5"/>
        <v>6.896551724137931</v>
      </c>
      <c r="S14" s="11">
        <v>5</v>
      </c>
      <c r="T14" s="23">
        <f t="shared" si="6"/>
        <v>8.928571428571429</v>
      </c>
      <c r="U14" s="11">
        <v>27</v>
      </c>
      <c r="V14" s="21">
        <f t="shared" si="7"/>
        <v>46.55172413793103</v>
      </c>
      <c r="W14" s="11">
        <v>24</v>
      </c>
      <c r="X14" s="23">
        <f t="shared" si="8"/>
        <v>42.857142857142854</v>
      </c>
      <c r="Y14" s="13">
        <v>20</v>
      </c>
      <c r="Z14" s="21">
        <f t="shared" si="9"/>
        <v>34.48275862068966</v>
      </c>
      <c r="AA14" s="11">
        <v>16</v>
      </c>
      <c r="AB14" s="83">
        <f t="shared" si="10"/>
        <v>28.571428571428573</v>
      </c>
      <c r="AC14" s="13">
        <v>4</v>
      </c>
      <c r="AD14" s="23">
        <f t="shared" si="0"/>
        <v>6.896551724137931</v>
      </c>
    </row>
    <row r="15" spans="1:30" ht="12.75">
      <c r="A15" s="15" t="s">
        <v>20</v>
      </c>
      <c r="B15" s="11">
        <v>398</v>
      </c>
      <c r="C15" s="34">
        <v>377</v>
      </c>
      <c r="D15" s="13">
        <v>260</v>
      </c>
      <c r="E15" s="12">
        <f>18+196</f>
        <v>214</v>
      </c>
      <c r="F15" s="42">
        <v>16</v>
      </c>
      <c r="G15" s="13">
        <v>244</v>
      </c>
      <c r="H15" s="12">
        <v>195</v>
      </c>
      <c r="I15" s="78">
        <v>47</v>
      </c>
      <c r="J15" s="62">
        <f t="shared" si="1"/>
        <v>19.262295081967213</v>
      </c>
      <c r="K15" s="63">
        <v>46</v>
      </c>
      <c r="L15" s="64">
        <f t="shared" si="2"/>
        <v>23.58974358974359</v>
      </c>
      <c r="M15" s="13">
        <v>15</v>
      </c>
      <c r="N15" s="21">
        <f t="shared" si="3"/>
        <v>6.147540983606557</v>
      </c>
      <c r="O15" s="11">
        <v>17</v>
      </c>
      <c r="P15" s="23">
        <f t="shared" si="4"/>
        <v>8.717948717948717</v>
      </c>
      <c r="Q15" s="13">
        <v>24</v>
      </c>
      <c r="R15" s="21">
        <f t="shared" si="5"/>
        <v>9.836065573770492</v>
      </c>
      <c r="S15" s="11">
        <v>21</v>
      </c>
      <c r="T15" s="23">
        <f t="shared" si="6"/>
        <v>10.76923076923077</v>
      </c>
      <c r="U15" s="11">
        <v>138</v>
      </c>
      <c r="V15" s="21">
        <f t="shared" si="7"/>
        <v>56.557377049180324</v>
      </c>
      <c r="W15" s="11">
        <v>105</v>
      </c>
      <c r="X15" s="23">
        <f t="shared" si="8"/>
        <v>53.84615384615385</v>
      </c>
      <c r="Y15" s="13">
        <v>7</v>
      </c>
      <c r="Z15" s="21">
        <f t="shared" si="9"/>
        <v>2.8688524590163933</v>
      </c>
      <c r="AA15" s="11">
        <v>6</v>
      </c>
      <c r="AB15" s="83">
        <f t="shared" si="10"/>
        <v>3.076923076923077</v>
      </c>
      <c r="AC15" s="13">
        <v>13</v>
      </c>
      <c r="AD15" s="23">
        <f t="shared" si="0"/>
        <v>5.327868852459017</v>
      </c>
    </row>
    <row r="16" spans="1:30" ht="12.75">
      <c r="A16" s="15" t="s">
        <v>21</v>
      </c>
      <c r="B16" s="11">
        <v>506</v>
      </c>
      <c r="C16" s="34">
        <v>479</v>
      </c>
      <c r="D16" s="13">
        <v>229</v>
      </c>
      <c r="E16" s="12">
        <v>242</v>
      </c>
      <c r="F16" s="42">
        <v>8</v>
      </c>
      <c r="G16" s="13">
        <v>221</v>
      </c>
      <c r="H16" s="12">
        <v>232</v>
      </c>
      <c r="I16" s="78">
        <v>34</v>
      </c>
      <c r="J16" s="62">
        <f t="shared" si="1"/>
        <v>15.384615384615385</v>
      </c>
      <c r="K16" s="63">
        <v>66</v>
      </c>
      <c r="L16" s="64">
        <f t="shared" si="2"/>
        <v>28.448275862068964</v>
      </c>
      <c r="M16" s="13">
        <v>17</v>
      </c>
      <c r="N16" s="21">
        <f t="shared" si="3"/>
        <v>7.6923076923076925</v>
      </c>
      <c r="O16" s="11">
        <v>21</v>
      </c>
      <c r="P16" s="23">
        <f t="shared" si="4"/>
        <v>9.051724137931034</v>
      </c>
      <c r="Q16" s="13">
        <v>17</v>
      </c>
      <c r="R16" s="21">
        <f t="shared" si="5"/>
        <v>7.6923076923076925</v>
      </c>
      <c r="S16" s="11">
        <v>15</v>
      </c>
      <c r="T16" s="23">
        <f t="shared" si="6"/>
        <v>6.4655172413793105</v>
      </c>
      <c r="U16" s="11">
        <v>123</v>
      </c>
      <c r="V16" s="21">
        <f t="shared" si="7"/>
        <v>55.65610859728507</v>
      </c>
      <c r="W16" s="11">
        <v>102</v>
      </c>
      <c r="X16" s="23">
        <f t="shared" si="8"/>
        <v>43.96551724137931</v>
      </c>
      <c r="Y16" s="13">
        <v>23</v>
      </c>
      <c r="Z16" s="21">
        <f t="shared" si="9"/>
        <v>10.407239819004525</v>
      </c>
      <c r="AA16" s="11">
        <v>28</v>
      </c>
      <c r="AB16" s="83">
        <f t="shared" si="10"/>
        <v>12.068965517241379</v>
      </c>
      <c r="AC16" s="13">
        <v>7</v>
      </c>
      <c r="AD16" s="23">
        <f t="shared" si="0"/>
        <v>3.167420814479638</v>
      </c>
    </row>
    <row r="17" spans="1:30" ht="12.75">
      <c r="A17" s="15" t="s">
        <v>22</v>
      </c>
      <c r="B17" s="11">
        <v>68</v>
      </c>
      <c r="C17" s="34">
        <v>72</v>
      </c>
      <c r="D17" s="13">
        <v>45</v>
      </c>
      <c r="E17" s="12">
        <v>42</v>
      </c>
      <c r="F17" s="42">
        <v>3</v>
      </c>
      <c r="G17" s="13">
        <v>42</v>
      </c>
      <c r="H17" s="12">
        <v>40</v>
      </c>
      <c r="I17" s="78">
        <v>6</v>
      </c>
      <c r="J17" s="62">
        <f t="shared" si="1"/>
        <v>14.285714285714286</v>
      </c>
      <c r="K17" s="63">
        <v>2</v>
      </c>
      <c r="L17" s="64">
        <f t="shared" si="2"/>
        <v>5</v>
      </c>
      <c r="M17" s="13">
        <v>0</v>
      </c>
      <c r="N17" s="21">
        <f t="shared" si="3"/>
      </c>
      <c r="O17" s="11">
        <v>2</v>
      </c>
      <c r="P17" s="23">
        <f t="shared" si="4"/>
        <v>5</v>
      </c>
      <c r="Q17" s="13">
        <v>6</v>
      </c>
      <c r="R17" s="21">
        <f t="shared" si="5"/>
        <v>14.285714285714286</v>
      </c>
      <c r="S17" s="11">
        <v>7</v>
      </c>
      <c r="T17" s="23">
        <f t="shared" si="6"/>
        <v>17.5</v>
      </c>
      <c r="U17" s="11">
        <v>23</v>
      </c>
      <c r="V17" s="21">
        <f t="shared" si="7"/>
        <v>54.76190476190476</v>
      </c>
      <c r="W17" s="11">
        <v>27</v>
      </c>
      <c r="X17" s="23">
        <f t="shared" si="8"/>
        <v>67.5</v>
      </c>
      <c r="Y17" s="13">
        <v>4</v>
      </c>
      <c r="Z17" s="21">
        <f t="shared" si="9"/>
        <v>9.523809523809524</v>
      </c>
      <c r="AA17" s="11">
        <v>2</v>
      </c>
      <c r="AB17" s="83">
        <f t="shared" si="10"/>
        <v>5</v>
      </c>
      <c r="AC17" s="13">
        <v>3</v>
      </c>
      <c r="AD17" s="23">
        <f t="shared" si="0"/>
        <v>7.142857142857143</v>
      </c>
    </row>
    <row r="18" spans="1:30" ht="12.75">
      <c r="A18" s="15" t="s">
        <v>23</v>
      </c>
      <c r="B18" s="11">
        <v>531</v>
      </c>
      <c r="C18" s="34">
        <v>510</v>
      </c>
      <c r="D18" s="13">
        <v>277</v>
      </c>
      <c r="E18" s="12">
        <v>281</v>
      </c>
      <c r="F18" s="42">
        <v>12</v>
      </c>
      <c r="G18" s="13">
        <v>265</v>
      </c>
      <c r="H18" s="12">
        <v>277</v>
      </c>
      <c r="I18" s="78">
        <v>46</v>
      </c>
      <c r="J18" s="62">
        <f t="shared" si="1"/>
        <v>17.358490566037737</v>
      </c>
      <c r="K18" s="63">
        <v>52</v>
      </c>
      <c r="L18" s="64">
        <f t="shared" si="2"/>
        <v>18.772563176895307</v>
      </c>
      <c r="M18" s="13">
        <v>5</v>
      </c>
      <c r="N18" s="21">
        <f t="shared" si="3"/>
        <v>1.8867924528301887</v>
      </c>
      <c r="O18" s="11">
        <v>13</v>
      </c>
      <c r="P18" s="23">
        <f t="shared" si="4"/>
        <v>4.693140794223827</v>
      </c>
      <c r="Q18" s="13">
        <v>31</v>
      </c>
      <c r="R18" s="21">
        <f t="shared" si="5"/>
        <v>11.69811320754717</v>
      </c>
      <c r="S18" s="11">
        <v>23</v>
      </c>
      <c r="T18" s="23">
        <f t="shared" si="6"/>
        <v>8.303249097472925</v>
      </c>
      <c r="U18" s="11">
        <v>126</v>
      </c>
      <c r="V18" s="21">
        <f t="shared" si="7"/>
        <v>47.54716981132076</v>
      </c>
      <c r="W18" s="11">
        <v>146</v>
      </c>
      <c r="X18" s="23">
        <f t="shared" si="8"/>
        <v>52.707581227436826</v>
      </c>
      <c r="Y18" s="13">
        <v>52</v>
      </c>
      <c r="Z18" s="21">
        <f t="shared" si="9"/>
        <v>19.62264150943396</v>
      </c>
      <c r="AA18" s="11">
        <v>43</v>
      </c>
      <c r="AB18" s="83">
        <f t="shared" si="10"/>
        <v>15.52346570397112</v>
      </c>
      <c r="AC18" s="13">
        <v>5</v>
      </c>
      <c r="AD18" s="23">
        <f t="shared" si="0"/>
        <v>1.8867924528301887</v>
      </c>
    </row>
    <row r="19" spans="1:30" ht="12.75">
      <c r="A19" s="15" t="s">
        <v>24</v>
      </c>
      <c r="B19" s="11">
        <v>361</v>
      </c>
      <c r="C19" s="34">
        <v>308</v>
      </c>
      <c r="D19" s="13">
        <v>224</v>
      </c>
      <c r="E19" s="12">
        <v>187</v>
      </c>
      <c r="F19" s="42">
        <v>14</v>
      </c>
      <c r="G19" s="13">
        <v>210</v>
      </c>
      <c r="H19" s="12">
        <v>176</v>
      </c>
      <c r="I19" s="78">
        <v>43</v>
      </c>
      <c r="J19" s="62">
        <f t="shared" si="1"/>
        <v>20.476190476190474</v>
      </c>
      <c r="K19" s="63">
        <v>35</v>
      </c>
      <c r="L19" s="64">
        <f t="shared" si="2"/>
        <v>19.886363636363637</v>
      </c>
      <c r="M19" s="13">
        <v>2</v>
      </c>
      <c r="N19" s="21">
        <f t="shared" si="3"/>
        <v>0.9523809523809523</v>
      </c>
      <c r="O19" s="11">
        <v>1</v>
      </c>
      <c r="P19" s="23">
        <f t="shared" si="4"/>
        <v>0.5681818181818182</v>
      </c>
      <c r="Q19" s="13">
        <v>9</v>
      </c>
      <c r="R19" s="21">
        <f t="shared" si="5"/>
        <v>4.285714285714286</v>
      </c>
      <c r="S19" s="11">
        <v>5</v>
      </c>
      <c r="T19" s="23">
        <f t="shared" si="6"/>
        <v>2.840909090909091</v>
      </c>
      <c r="U19" s="11">
        <v>138</v>
      </c>
      <c r="V19" s="21">
        <f t="shared" si="7"/>
        <v>65.71428571428571</v>
      </c>
      <c r="W19" s="11">
        <v>132</v>
      </c>
      <c r="X19" s="23">
        <f t="shared" si="8"/>
        <v>75</v>
      </c>
      <c r="Y19" s="13">
        <v>8</v>
      </c>
      <c r="Z19" s="21">
        <f t="shared" si="9"/>
        <v>3.8095238095238093</v>
      </c>
      <c r="AA19" s="11">
        <v>3</v>
      </c>
      <c r="AB19" s="83">
        <f t="shared" si="10"/>
        <v>1.7045454545454546</v>
      </c>
      <c r="AC19" s="13">
        <v>10</v>
      </c>
      <c r="AD19" s="23">
        <f t="shared" si="0"/>
        <v>4.761904761904762</v>
      </c>
    </row>
    <row r="20" spans="1:30" ht="12.75">
      <c r="A20" s="15" t="s">
        <v>25</v>
      </c>
      <c r="B20" s="11">
        <v>341</v>
      </c>
      <c r="C20" s="34">
        <v>322</v>
      </c>
      <c r="D20" s="13">
        <v>212</v>
      </c>
      <c r="E20" s="12">
        <v>189</v>
      </c>
      <c r="F20" s="42">
        <v>43</v>
      </c>
      <c r="G20" s="13">
        <v>169</v>
      </c>
      <c r="H20" s="12">
        <v>170</v>
      </c>
      <c r="I20" s="78">
        <v>14</v>
      </c>
      <c r="J20" s="62">
        <f t="shared" si="1"/>
        <v>8.284023668639053</v>
      </c>
      <c r="K20" s="63">
        <v>20</v>
      </c>
      <c r="L20" s="64">
        <f t="shared" si="2"/>
        <v>11.764705882352942</v>
      </c>
      <c r="M20" s="13">
        <v>8</v>
      </c>
      <c r="N20" s="21">
        <f t="shared" si="3"/>
        <v>4.733727810650888</v>
      </c>
      <c r="O20" s="11">
        <v>14</v>
      </c>
      <c r="P20" s="23">
        <f t="shared" si="4"/>
        <v>8.235294117647058</v>
      </c>
      <c r="Q20" s="13">
        <v>14</v>
      </c>
      <c r="R20" s="21">
        <f t="shared" si="5"/>
        <v>8.284023668639053</v>
      </c>
      <c r="S20" s="11">
        <v>14</v>
      </c>
      <c r="T20" s="23">
        <f t="shared" si="6"/>
        <v>8.235294117647058</v>
      </c>
      <c r="U20" s="11">
        <v>122</v>
      </c>
      <c r="V20" s="21">
        <f t="shared" si="7"/>
        <v>72.18934911242603</v>
      </c>
      <c r="W20" s="11">
        <v>102</v>
      </c>
      <c r="X20" s="23">
        <f t="shared" si="8"/>
        <v>60</v>
      </c>
      <c r="Y20" s="13">
        <v>9</v>
      </c>
      <c r="Z20" s="21">
        <f t="shared" si="9"/>
        <v>5.325443786982248</v>
      </c>
      <c r="AA20" s="11">
        <v>20</v>
      </c>
      <c r="AB20" s="83">
        <f t="shared" si="10"/>
        <v>11.764705882352942</v>
      </c>
      <c r="AC20" s="13">
        <v>2</v>
      </c>
      <c r="AD20" s="23">
        <f t="shared" si="0"/>
        <v>1.183431952662722</v>
      </c>
    </row>
    <row r="21" spans="1:30" ht="12.75">
      <c r="A21" s="15" t="s">
        <v>26</v>
      </c>
      <c r="B21" s="11">
        <v>322</v>
      </c>
      <c r="C21" s="34">
        <v>289</v>
      </c>
      <c r="D21" s="13">
        <v>214</v>
      </c>
      <c r="E21" s="12">
        <v>183</v>
      </c>
      <c r="F21" s="42">
        <v>10</v>
      </c>
      <c r="G21" s="13">
        <v>204</v>
      </c>
      <c r="H21" s="12">
        <v>170</v>
      </c>
      <c r="I21" s="78">
        <v>14</v>
      </c>
      <c r="J21" s="62">
        <f t="shared" si="1"/>
        <v>6.862745098039215</v>
      </c>
      <c r="K21" s="63">
        <v>16</v>
      </c>
      <c r="L21" s="64">
        <f t="shared" si="2"/>
        <v>9.411764705882353</v>
      </c>
      <c r="M21" s="13">
        <v>25</v>
      </c>
      <c r="N21" s="21">
        <f t="shared" si="3"/>
        <v>12.254901960784315</v>
      </c>
      <c r="O21" s="11">
        <v>26</v>
      </c>
      <c r="P21" s="23">
        <f t="shared" si="4"/>
        <v>15.294117647058824</v>
      </c>
      <c r="Q21" s="13">
        <v>30</v>
      </c>
      <c r="R21" s="21">
        <f t="shared" si="5"/>
        <v>14.705882352941176</v>
      </c>
      <c r="S21" s="11">
        <v>22</v>
      </c>
      <c r="T21" s="23">
        <f t="shared" si="6"/>
        <v>12.941176470588236</v>
      </c>
      <c r="U21" s="11">
        <v>113</v>
      </c>
      <c r="V21" s="21">
        <f t="shared" si="7"/>
        <v>55.3921568627451</v>
      </c>
      <c r="W21" s="11">
        <v>101</v>
      </c>
      <c r="X21" s="23">
        <f t="shared" si="8"/>
        <v>59.411764705882355</v>
      </c>
      <c r="Y21" s="13">
        <v>14</v>
      </c>
      <c r="Z21" s="21">
        <f t="shared" si="9"/>
        <v>6.862745098039215</v>
      </c>
      <c r="AA21" s="11">
        <v>5</v>
      </c>
      <c r="AB21" s="83">
        <f t="shared" si="10"/>
        <v>2.9411764705882355</v>
      </c>
      <c r="AC21" s="13">
        <v>8</v>
      </c>
      <c r="AD21" s="23">
        <f t="shared" si="0"/>
        <v>3.9215686274509802</v>
      </c>
    </row>
    <row r="22" spans="1:30" ht="12.75">
      <c r="A22" s="15" t="s">
        <v>27</v>
      </c>
      <c r="B22" s="11">
        <v>191</v>
      </c>
      <c r="C22" s="34">
        <v>167</v>
      </c>
      <c r="D22" s="13">
        <v>124</v>
      </c>
      <c r="E22" s="12">
        <v>103</v>
      </c>
      <c r="F22" s="42">
        <v>9</v>
      </c>
      <c r="G22" s="13">
        <v>115</v>
      </c>
      <c r="H22" s="12">
        <v>94</v>
      </c>
      <c r="I22" s="78">
        <v>15</v>
      </c>
      <c r="J22" s="62">
        <f t="shared" si="1"/>
        <v>13.043478260869565</v>
      </c>
      <c r="K22" s="63">
        <v>13</v>
      </c>
      <c r="L22" s="64">
        <f t="shared" si="2"/>
        <v>13.829787234042554</v>
      </c>
      <c r="M22" s="13">
        <v>0</v>
      </c>
      <c r="N22" s="21">
        <f t="shared" si="3"/>
      </c>
      <c r="O22" s="11">
        <v>3</v>
      </c>
      <c r="P22" s="23">
        <f t="shared" si="4"/>
        <v>3.1914893617021276</v>
      </c>
      <c r="Q22" s="13">
        <v>6</v>
      </c>
      <c r="R22" s="21">
        <f t="shared" si="5"/>
        <v>5.217391304347826</v>
      </c>
      <c r="S22" s="11">
        <v>9</v>
      </c>
      <c r="T22" s="23">
        <f t="shared" si="6"/>
        <v>9.574468085106384</v>
      </c>
      <c r="U22" s="11">
        <v>86</v>
      </c>
      <c r="V22" s="21">
        <f t="shared" si="7"/>
        <v>74.78260869565217</v>
      </c>
      <c r="W22" s="11">
        <v>65</v>
      </c>
      <c r="X22" s="23">
        <f t="shared" si="8"/>
        <v>69.14893617021276</v>
      </c>
      <c r="Y22" s="13">
        <v>6</v>
      </c>
      <c r="Z22" s="21">
        <f t="shared" si="9"/>
        <v>5.217391304347826</v>
      </c>
      <c r="AA22" s="11">
        <v>4</v>
      </c>
      <c r="AB22" s="83">
        <f t="shared" si="10"/>
        <v>4.25531914893617</v>
      </c>
      <c r="AC22" s="13">
        <v>2</v>
      </c>
      <c r="AD22" s="23">
        <f t="shared" si="0"/>
        <v>1.7391304347826086</v>
      </c>
    </row>
    <row r="23" spans="1:30" ht="12.75">
      <c r="A23" s="15" t="s">
        <v>28</v>
      </c>
      <c r="B23" s="11">
        <v>195</v>
      </c>
      <c r="C23" s="34">
        <v>164</v>
      </c>
      <c r="D23" s="13">
        <v>125</v>
      </c>
      <c r="E23" s="12">
        <v>101</v>
      </c>
      <c r="F23" s="42">
        <v>7</v>
      </c>
      <c r="G23" s="13">
        <v>118</v>
      </c>
      <c r="H23" s="12">
        <v>100</v>
      </c>
      <c r="I23" s="78">
        <v>2</v>
      </c>
      <c r="J23" s="62">
        <f t="shared" si="1"/>
        <v>1.694915254237288</v>
      </c>
      <c r="K23" s="63">
        <v>3</v>
      </c>
      <c r="L23" s="64">
        <f t="shared" si="2"/>
        <v>3</v>
      </c>
      <c r="M23" s="13">
        <v>4</v>
      </c>
      <c r="N23" s="21">
        <f t="shared" si="3"/>
        <v>3.389830508474576</v>
      </c>
      <c r="O23" s="11">
        <v>6</v>
      </c>
      <c r="P23" s="23">
        <f t="shared" si="4"/>
        <v>6</v>
      </c>
      <c r="Q23" s="13">
        <v>20</v>
      </c>
      <c r="R23" s="21">
        <f t="shared" si="5"/>
        <v>16.949152542372882</v>
      </c>
      <c r="S23" s="11">
        <v>13</v>
      </c>
      <c r="T23" s="23">
        <f t="shared" si="6"/>
        <v>13</v>
      </c>
      <c r="U23" s="11">
        <v>66</v>
      </c>
      <c r="V23" s="21">
        <f t="shared" si="7"/>
        <v>55.932203389830505</v>
      </c>
      <c r="W23" s="11">
        <v>62</v>
      </c>
      <c r="X23" s="23">
        <f t="shared" si="8"/>
        <v>62</v>
      </c>
      <c r="Y23" s="13">
        <v>18</v>
      </c>
      <c r="Z23" s="21">
        <f t="shared" si="9"/>
        <v>15.254237288135593</v>
      </c>
      <c r="AA23" s="11">
        <v>16</v>
      </c>
      <c r="AB23" s="83">
        <f t="shared" si="10"/>
        <v>16</v>
      </c>
      <c r="AC23" s="13">
        <v>8</v>
      </c>
      <c r="AD23" s="23">
        <f t="shared" si="0"/>
        <v>6.779661016949152</v>
      </c>
    </row>
    <row r="24" spans="1:30" ht="12.75">
      <c r="A24" s="15" t="s">
        <v>29</v>
      </c>
      <c r="B24" s="11">
        <v>1489</v>
      </c>
      <c r="C24" s="34">
        <f>1428+113</f>
        <v>1541</v>
      </c>
      <c r="D24" s="13">
        <v>705</v>
      </c>
      <c r="E24" s="12">
        <f>57+673</f>
        <v>730</v>
      </c>
      <c r="F24" s="42">
        <v>13</v>
      </c>
      <c r="G24" s="13">
        <v>692</v>
      </c>
      <c r="H24" s="12">
        <v>694</v>
      </c>
      <c r="I24" s="78">
        <v>138</v>
      </c>
      <c r="J24" s="62">
        <f t="shared" si="1"/>
        <v>19.942196531791907</v>
      </c>
      <c r="K24" s="63">
        <v>175</v>
      </c>
      <c r="L24" s="64">
        <f t="shared" si="2"/>
        <v>25.21613832853026</v>
      </c>
      <c r="M24" s="13">
        <v>82</v>
      </c>
      <c r="N24" s="21">
        <f t="shared" si="3"/>
        <v>11.84971098265896</v>
      </c>
      <c r="O24" s="11">
        <v>100</v>
      </c>
      <c r="P24" s="23">
        <f t="shared" si="4"/>
        <v>14.409221902017292</v>
      </c>
      <c r="Q24" s="13">
        <v>90</v>
      </c>
      <c r="R24" s="21">
        <f t="shared" si="5"/>
        <v>13.00578034682081</v>
      </c>
      <c r="S24" s="11">
        <v>117</v>
      </c>
      <c r="T24" s="23">
        <f t="shared" si="6"/>
        <v>16.85878962536023</v>
      </c>
      <c r="U24" s="11">
        <v>302</v>
      </c>
      <c r="V24" s="21">
        <f t="shared" si="7"/>
        <v>43.641618497109825</v>
      </c>
      <c r="W24" s="11">
        <v>271</v>
      </c>
      <c r="X24" s="23">
        <f t="shared" si="8"/>
        <v>39.04899135446686</v>
      </c>
      <c r="Y24" s="13">
        <v>38</v>
      </c>
      <c r="Z24" s="21">
        <f t="shared" si="9"/>
        <v>5.491329479768786</v>
      </c>
      <c r="AA24" s="11">
        <v>31</v>
      </c>
      <c r="AB24" s="83">
        <f t="shared" si="10"/>
        <v>4.46685878962536</v>
      </c>
      <c r="AC24" s="13">
        <v>42</v>
      </c>
      <c r="AD24" s="23">
        <f t="shared" si="0"/>
        <v>6.069364161849711</v>
      </c>
    </row>
    <row r="25" spans="1:30" ht="12.75">
      <c r="A25" s="15" t="s">
        <v>30</v>
      </c>
      <c r="B25" s="11">
        <v>255</v>
      </c>
      <c r="C25" s="34">
        <v>214</v>
      </c>
      <c r="D25" s="13">
        <v>143</v>
      </c>
      <c r="E25" s="12">
        <v>123</v>
      </c>
      <c r="F25" s="42">
        <v>9</v>
      </c>
      <c r="G25" s="13">
        <v>134</v>
      </c>
      <c r="H25" s="12">
        <v>118</v>
      </c>
      <c r="I25" s="78">
        <v>15</v>
      </c>
      <c r="J25" s="62">
        <f t="shared" si="1"/>
        <v>11.194029850746269</v>
      </c>
      <c r="K25" s="63">
        <v>8</v>
      </c>
      <c r="L25" s="64">
        <f t="shared" si="2"/>
        <v>6.779661016949152</v>
      </c>
      <c r="M25" s="13">
        <v>10</v>
      </c>
      <c r="N25" s="21">
        <f t="shared" si="3"/>
        <v>7.462686567164179</v>
      </c>
      <c r="O25" s="11">
        <v>13</v>
      </c>
      <c r="P25" s="23">
        <f t="shared" si="4"/>
        <v>11.016949152542374</v>
      </c>
      <c r="Q25" s="13">
        <v>1</v>
      </c>
      <c r="R25" s="21">
        <f t="shared" si="5"/>
        <v>0.746268656716418</v>
      </c>
      <c r="S25" s="11">
        <v>7</v>
      </c>
      <c r="T25" s="23">
        <f t="shared" si="6"/>
        <v>5.932203389830509</v>
      </c>
      <c r="U25" s="11">
        <v>64</v>
      </c>
      <c r="V25" s="21">
        <f t="shared" si="7"/>
        <v>47.76119402985075</v>
      </c>
      <c r="W25" s="11">
        <v>57</v>
      </c>
      <c r="X25" s="23">
        <f t="shared" si="8"/>
        <v>48.30508474576271</v>
      </c>
      <c r="Y25" s="13">
        <v>32</v>
      </c>
      <c r="Z25" s="21">
        <f t="shared" si="9"/>
        <v>23.880597014925375</v>
      </c>
      <c r="AA25" s="11">
        <v>33</v>
      </c>
      <c r="AB25" s="83">
        <f t="shared" si="10"/>
        <v>27.966101694915253</v>
      </c>
      <c r="AC25" s="13">
        <v>12</v>
      </c>
      <c r="AD25" s="23">
        <f t="shared" si="0"/>
        <v>8.955223880597014</v>
      </c>
    </row>
    <row r="26" spans="1:30" ht="12.75">
      <c r="A26" s="15" t="s">
        <v>31</v>
      </c>
      <c r="B26" s="11">
        <v>112</v>
      </c>
      <c r="C26" s="34">
        <v>105</v>
      </c>
      <c r="D26" s="13">
        <v>56</v>
      </c>
      <c r="E26" s="12">
        <v>78</v>
      </c>
      <c r="F26" s="42">
        <v>3</v>
      </c>
      <c r="G26" s="13">
        <v>53</v>
      </c>
      <c r="H26" s="12">
        <v>77</v>
      </c>
      <c r="I26" s="78">
        <v>7</v>
      </c>
      <c r="J26" s="62">
        <f t="shared" si="1"/>
        <v>13.20754716981132</v>
      </c>
      <c r="K26" s="63">
        <v>8</v>
      </c>
      <c r="L26" s="64">
        <f t="shared" si="2"/>
        <v>10.38961038961039</v>
      </c>
      <c r="M26" s="13">
        <v>3</v>
      </c>
      <c r="N26" s="21">
        <f t="shared" si="3"/>
        <v>5.660377358490566</v>
      </c>
      <c r="O26" s="11">
        <v>7</v>
      </c>
      <c r="P26" s="23">
        <f t="shared" si="4"/>
        <v>9.090909090909092</v>
      </c>
      <c r="Q26" s="13">
        <v>8</v>
      </c>
      <c r="R26" s="21">
        <f t="shared" si="5"/>
        <v>15.09433962264151</v>
      </c>
      <c r="S26" s="11">
        <v>9</v>
      </c>
      <c r="T26" s="23">
        <f t="shared" si="6"/>
        <v>11.688311688311689</v>
      </c>
      <c r="U26" s="11">
        <v>29</v>
      </c>
      <c r="V26" s="21">
        <f t="shared" si="7"/>
        <v>54.716981132075475</v>
      </c>
      <c r="W26" s="11">
        <v>37</v>
      </c>
      <c r="X26" s="23">
        <f t="shared" si="8"/>
        <v>48.05194805194805</v>
      </c>
      <c r="Y26" s="13">
        <v>5</v>
      </c>
      <c r="Z26" s="21">
        <f t="shared" si="9"/>
        <v>9.433962264150944</v>
      </c>
      <c r="AA26" s="11">
        <v>16</v>
      </c>
      <c r="AB26" s="83">
        <f t="shared" si="10"/>
        <v>20.77922077922078</v>
      </c>
      <c r="AC26" s="13">
        <v>1</v>
      </c>
      <c r="AD26" s="23">
        <f t="shared" si="0"/>
        <v>1.8867924528301887</v>
      </c>
    </row>
    <row r="27" spans="1:30" ht="12.75">
      <c r="A27" s="15" t="s">
        <v>32</v>
      </c>
      <c r="B27" s="11">
        <v>419</v>
      </c>
      <c r="C27" s="34">
        <v>382</v>
      </c>
      <c r="D27" s="13">
        <v>257</v>
      </c>
      <c r="E27" s="12">
        <v>243</v>
      </c>
      <c r="F27" s="42">
        <v>7</v>
      </c>
      <c r="G27" s="13">
        <v>250</v>
      </c>
      <c r="H27" s="12">
        <v>236</v>
      </c>
      <c r="I27" s="78">
        <v>64</v>
      </c>
      <c r="J27" s="62">
        <f t="shared" si="1"/>
        <v>25.6</v>
      </c>
      <c r="K27" s="63">
        <v>67</v>
      </c>
      <c r="L27" s="64">
        <f t="shared" si="2"/>
        <v>28.389830508474578</v>
      </c>
      <c r="M27" s="13">
        <v>16</v>
      </c>
      <c r="N27" s="21">
        <f t="shared" si="3"/>
        <v>6.4</v>
      </c>
      <c r="O27" s="11">
        <v>27</v>
      </c>
      <c r="P27" s="23">
        <f t="shared" si="4"/>
        <v>11.440677966101696</v>
      </c>
      <c r="Q27" s="13">
        <v>20</v>
      </c>
      <c r="R27" s="21">
        <f t="shared" si="5"/>
        <v>8</v>
      </c>
      <c r="S27" s="11">
        <v>16</v>
      </c>
      <c r="T27" s="23">
        <f t="shared" si="6"/>
        <v>6.779661016949152</v>
      </c>
      <c r="U27" s="11">
        <v>130</v>
      </c>
      <c r="V27" s="21">
        <f t="shared" si="7"/>
        <v>52</v>
      </c>
      <c r="W27" s="11">
        <v>115</v>
      </c>
      <c r="X27" s="23">
        <f t="shared" si="8"/>
        <v>48.728813559322035</v>
      </c>
      <c r="Y27" s="13">
        <v>15</v>
      </c>
      <c r="Z27" s="21">
        <f t="shared" si="9"/>
        <v>6</v>
      </c>
      <c r="AA27" s="11">
        <v>11</v>
      </c>
      <c r="AB27" s="83">
        <f t="shared" si="10"/>
        <v>4.661016949152542</v>
      </c>
      <c r="AC27" s="13">
        <v>5</v>
      </c>
      <c r="AD27" s="23">
        <f t="shared" si="0"/>
        <v>2</v>
      </c>
    </row>
    <row r="28" spans="1:30" ht="12.75">
      <c r="A28" s="15" t="s">
        <v>33</v>
      </c>
      <c r="B28" s="11">
        <v>55</v>
      </c>
      <c r="C28" s="34">
        <v>52</v>
      </c>
      <c r="D28" s="13">
        <v>23</v>
      </c>
      <c r="E28" s="12">
        <v>34</v>
      </c>
      <c r="F28" s="42">
        <v>1</v>
      </c>
      <c r="G28" s="13">
        <v>22</v>
      </c>
      <c r="H28" s="12">
        <v>34</v>
      </c>
      <c r="I28" s="78">
        <v>0</v>
      </c>
      <c r="J28" s="62">
        <f t="shared" si="1"/>
      </c>
      <c r="K28" s="63">
        <v>2</v>
      </c>
      <c r="L28" s="64">
        <f t="shared" si="2"/>
        <v>5.882352941176471</v>
      </c>
      <c r="M28" s="13">
        <v>0</v>
      </c>
      <c r="N28" s="21">
        <f t="shared" si="3"/>
      </c>
      <c r="O28" s="11">
        <v>0</v>
      </c>
      <c r="P28" s="23">
        <f t="shared" si="4"/>
      </c>
      <c r="Q28" s="13">
        <v>0</v>
      </c>
      <c r="R28" s="21">
        <f t="shared" si="5"/>
      </c>
      <c r="S28" s="11">
        <v>1</v>
      </c>
      <c r="T28" s="23">
        <f t="shared" si="6"/>
        <v>2.9411764705882355</v>
      </c>
      <c r="U28" s="11">
        <v>20</v>
      </c>
      <c r="V28" s="21">
        <f t="shared" si="7"/>
        <v>90.9090909090909</v>
      </c>
      <c r="W28" s="11">
        <v>29</v>
      </c>
      <c r="X28" s="23">
        <f t="shared" si="8"/>
        <v>85.29411764705883</v>
      </c>
      <c r="Y28" s="13">
        <v>2</v>
      </c>
      <c r="Z28" s="21">
        <f t="shared" si="9"/>
        <v>9.090909090909092</v>
      </c>
      <c r="AA28" s="11">
        <v>2</v>
      </c>
      <c r="AB28" s="83">
        <f t="shared" si="10"/>
        <v>5.882352941176471</v>
      </c>
      <c r="AC28" s="13">
        <v>0</v>
      </c>
      <c r="AD28" s="23">
        <f>IF(AC28&gt;0,(AC28*100)/K28,"")</f>
      </c>
    </row>
    <row r="29" spans="1:30" ht="12.75">
      <c r="A29" s="15" t="s">
        <v>34</v>
      </c>
      <c r="B29" s="11">
        <v>178</v>
      </c>
      <c r="C29" s="34">
        <v>141</v>
      </c>
      <c r="D29" s="13">
        <v>100</v>
      </c>
      <c r="E29" s="12">
        <v>82</v>
      </c>
      <c r="F29" s="42">
        <v>4</v>
      </c>
      <c r="G29" s="13">
        <v>96</v>
      </c>
      <c r="H29" s="12">
        <v>76</v>
      </c>
      <c r="I29" s="78">
        <v>6</v>
      </c>
      <c r="J29" s="62">
        <f t="shared" si="1"/>
        <v>6.25</v>
      </c>
      <c r="K29" s="63">
        <v>8</v>
      </c>
      <c r="L29" s="64">
        <f t="shared" si="2"/>
        <v>10.526315789473685</v>
      </c>
      <c r="M29" s="13">
        <v>0</v>
      </c>
      <c r="N29" s="21">
        <f t="shared" si="3"/>
      </c>
      <c r="O29" s="11">
        <v>0</v>
      </c>
      <c r="P29" s="23">
        <f t="shared" si="4"/>
      </c>
      <c r="Q29" s="13">
        <v>2</v>
      </c>
      <c r="R29" s="21">
        <f t="shared" si="5"/>
        <v>2.0833333333333335</v>
      </c>
      <c r="S29" s="11">
        <v>3</v>
      </c>
      <c r="T29" s="23">
        <f t="shared" si="6"/>
        <v>3.9473684210526314</v>
      </c>
      <c r="U29" s="11">
        <v>43</v>
      </c>
      <c r="V29" s="21">
        <f t="shared" si="7"/>
        <v>44.791666666666664</v>
      </c>
      <c r="W29" s="11">
        <v>32</v>
      </c>
      <c r="X29" s="23">
        <f t="shared" si="8"/>
        <v>42.10526315789474</v>
      </c>
      <c r="Y29" s="13">
        <v>43</v>
      </c>
      <c r="Z29" s="21">
        <f t="shared" si="9"/>
        <v>44.791666666666664</v>
      </c>
      <c r="AA29" s="11">
        <v>33</v>
      </c>
      <c r="AB29" s="83">
        <f t="shared" si="10"/>
        <v>43.421052631578945</v>
      </c>
      <c r="AC29" s="13">
        <v>2</v>
      </c>
      <c r="AD29" s="23">
        <f>IF(AC29&gt;0,(AC29*100)/G29,"")</f>
        <v>2.0833333333333335</v>
      </c>
    </row>
    <row r="30" spans="1:30" ht="12.75">
      <c r="A30" s="15" t="s">
        <v>35</v>
      </c>
      <c r="B30" s="11">
        <v>343</v>
      </c>
      <c r="C30" s="34">
        <v>302</v>
      </c>
      <c r="D30" s="13">
        <v>188</v>
      </c>
      <c r="E30" s="12">
        <v>189</v>
      </c>
      <c r="F30" s="42">
        <v>8</v>
      </c>
      <c r="G30" s="13">
        <v>180</v>
      </c>
      <c r="H30" s="12">
        <v>176</v>
      </c>
      <c r="I30" s="78">
        <v>55</v>
      </c>
      <c r="J30" s="62">
        <f t="shared" si="1"/>
        <v>30.555555555555557</v>
      </c>
      <c r="K30" s="63">
        <v>42</v>
      </c>
      <c r="L30" s="64">
        <f t="shared" si="2"/>
        <v>23.863636363636363</v>
      </c>
      <c r="M30" s="13">
        <v>15</v>
      </c>
      <c r="N30" s="21">
        <f t="shared" si="3"/>
        <v>8.333333333333334</v>
      </c>
      <c r="O30" s="11">
        <v>24</v>
      </c>
      <c r="P30" s="23">
        <f t="shared" si="4"/>
        <v>13.636363636363637</v>
      </c>
      <c r="Q30" s="13">
        <v>9</v>
      </c>
      <c r="R30" s="21">
        <f t="shared" si="5"/>
        <v>5</v>
      </c>
      <c r="S30" s="11">
        <v>9</v>
      </c>
      <c r="T30" s="23">
        <f t="shared" si="6"/>
        <v>5.113636363636363</v>
      </c>
      <c r="U30" s="11">
        <v>91</v>
      </c>
      <c r="V30" s="21">
        <f t="shared" si="7"/>
        <v>50.55555555555556</v>
      </c>
      <c r="W30" s="11">
        <v>89</v>
      </c>
      <c r="X30" s="23">
        <f t="shared" si="8"/>
        <v>50.56818181818182</v>
      </c>
      <c r="Y30" s="13">
        <v>6</v>
      </c>
      <c r="Z30" s="21">
        <f t="shared" si="9"/>
        <v>3.3333333333333335</v>
      </c>
      <c r="AA30" s="11">
        <v>12</v>
      </c>
      <c r="AB30" s="83">
        <f t="shared" si="10"/>
        <v>6.818181818181818</v>
      </c>
      <c r="AC30" s="13">
        <v>4</v>
      </c>
      <c r="AD30" s="23">
        <f>IF(AC30&gt;0,(AC30*100)/K30,"")</f>
        <v>9.523809523809524</v>
      </c>
    </row>
    <row r="31" spans="1:30" ht="12.75">
      <c r="A31" s="15" t="s">
        <v>36</v>
      </c>
      <c r="B31" s="11">
        <v>546</v>
      </c>
      <c r="C31" s="34">
        <f>496+41</f>
        <v>537</v>
      </c>
      <c r="D31" s="13">
        <v>334</v>
      </c>
      <c r="E31" s="12">
        <f>26+279</f>
        <v>305</v>
      </c>
      <c r="F31" s="42">
        <v>13</v>
      </c>
      <c r="G31" s="13">
        <v>321</v>
      </c>
      <c r="H31" s="12">
        <v>290</v>
      </c>
      <c r="I31" s="78">
        <v>102</v>
      </c>
      <c r="J31" s="62">
        <f t="shared" si="1"/>
        <v>31.77570093457944</v>
      </c>
      <c r="K31" s="63">
        <v>108</v>
      </c>
      <c r="L31" s="64">
        <f t="shared" si="2"/>
        <v>37.241379310344826</v>
      </c>
      <c r="M31" s="13">
        <v>10</v>
      </c>
      <c r="N31" s="21">
        <f t="shared" si="3"/>
        <v>3.115264797507788</v>
      </c>
      <c r="O31" s="11">
        <v>7</v>
      </c>
      <c r="P31" s="23">
        <f t="shared" si="4"/>
        <v>2.413793103448276</v>
      </c>
      <c r="Q31" s="13">
        <v>27</v>
      </c>
      <c r="R31" s="21">
        <f t="shared" si="5"/>
        <v>8.411214953271028</v>
      </c>
      <c r="S31" s="11">
        <v>40</v>
      </c>
      <c r="T31" s="23">
        <f t="shared" si="6"/>
        <v>13.793103448275861</v>
      </c>
      <c r="U31" s="11">
        <v>154</v>
      </c>
      <c r="V31" s="21">
        <f t="shared" si="7"/>
        <v>47.97507788161994</v>
      </c>
      <c r="W31" s="11">
        <v>124</v>
      </c>
      <c r="X31" s="23">
        <f t="shared" si="8"/>
        <v>42.758620689655174</v>
      </c>
      <c r="Y31" s="13">
        <v>19</v>
      </c>
      <c r="Z31" s="21">
        <f t="shared" si="9"/>
        <v>5.919003115264798</v>
      </c>
      <c r="AA31" s="11">
        <v>11</v>
      </c>
      <c r="AB31" s="83">
        <f t="shared" si="10"/>
        <v>3.793103448275862</v>
      </c>
      <c r="AC31" s="13">
        <v>9</v>
      </c>
      <c r="AD31" s="23">
        <f>IF(AC31&gt;0,(AC31*100)/G31,"")</f>
        <v>2.803738317757009</v>
      </c>
    </row>
    <row r="32" spans="1:30" ht="12.75">
      <c r="A32" s="15" t="s">
        <v>37</v>
      </c>
      <c r="B32" s="11">
        <v>466</v>
      </c>
      <c r="C32" s="34">
        <f>394+18</f>
        <v>412</v>
      </c>
      <c r="D32" s="13">
        <v>210</v>
      </c>
      <c r="E32" s="12">
        <v>200</v>
      </c>
      <c r="F32" s="42">
        <v>4</v>
      </c>
      <c r="G32" s="13">
        <v>206</v>
      </c>
      <c r="H32" s="12">
        <v>191</v>
      </c>
      <c r="I32" s="78">
        <v>27</v>
      </c>
      <c r="J32" s="62">
        <f t="shared" si="1"/>
        <v>13.106796116504855</v>
      </c>
      <c r="K32" s="63">
        <v>30</v>
      </c>
      <c r="L32" s="64">
        <f t="shared" si="2"/>
        <v>15.706806282722512</v>
      </c>
      <c r="M32" s="13">
        <v>12</v>
      </c>
      <c r="N32" s="21">
        <f t="shared" si="3"/>
        <v>5.825242718446602</v>
      </c>
      <c r="O32" s="11">
        <v>6</v>
      </c>
      <c r="P32" s="23">
        <f t="shared" si="4"/>
        <v>3.141361256544503</v>
      </c>
      <c r="Q32" s="13">
        <v>7</v>
      </c>
      <c r="R32" s="21">
        <f t="shared" si="5"/>
        <v>3.3980582524271843</v>
      </c>
      <c r="S32" s="11">
        <v>13</v>
      </c>
      <c r="T32" s="23">
        <f t="shared" si="6"/>
        <v>6.806282722513089</v>
      </c>
      <c r="U32" s="11">
        <v>130</v>
      </c>
      <c r="V32" s="21">
        <f t="shared" si="7"/>
        <v>63.10679611650485</v>
      </c>
      <c r="W32" s="11">
        <v>124</v>
      </c>
      <c r="X32" s="23">
        <f t="shared" si="8"/>
        <v>64.92146596858639</v>
      </c>
      <c r="Y32" s="13">
        <v>21</v>
      </c>
      <c r="Z32" s="21">
        <f t="shared" si="9"/>
        <v>10.194174757281553</v>
      </c>
      <c r="AA32" s="11">
        <v>18</v>
      </c>
      <c r="AB32" s="83">
        <f t="shared" si="10"/>
        <v>9.424083769633508</v>
      </c>
      <c r="AC32" s="13">
        <v>9</v>
      </c>
      <c r="AD32" s="23">
        <f>IF(AC32&gt;0,(AC32*100)/G32,"")</f>
        <v>4.368932038834951</v>
      </c>
    </row>
    <row r="33" spans="1:30" ht="12.75">
      <c r="A33" s="15" t="s">
        <v>60</v>
      </c>
      <c r="B33" s="11">
        <v>12</v>
      </c>
      <c r="C33" s="34">
        <v>11</v>
      </c>
      <c r="D33" s="13">
        <v>8</v>
      </c>
      <c r="E33" s="12">
        <v>7</v>
      </c>
      <c r="F33" s="42">
        <v>0</v>
      </c>
      <c r="G33" s="13">
        <v>8</v>
      </c>
      <c r="H33" s="12">
        <v>7</v>
      </c>
      <c r="I33" s="78">
        <v>0</v>
      </c>
      <c r="J33" s="62">
        <f t="shared" si="1"/>
      </c>
      <c r="K33" s="63">
        <v>0</v>
      </c>
      <c r="L33" s="64">
        <f t="shared" si="2"/>
      </c>
      <c r="M33" s="13">
        <v>0</v>
      </c>
      <c r="N33" s="21">
        <f t="shared" si="3"/>
      </c>
      <c r="O33" s="11">
        <v>0</v>
      </c>
      <c r="P33" s="23">
        <f t="shared" si="4"/>
      </c>
      <c r="Q33" s="13">
        <v>0</v>
      </c>
      <c r="R33" s="21">
        <f t="shared" si="5"/>
      </c>
      <c r="S33" s="11">
        <v>0</v>
      </c>
      <c r="T33" s="23">
        <f t="shared" si="6"/>
      </c>
      <c r="U33" s="11">
        <v>8</v>
      </c>
      <c r="V33" s="21">
        <v>100</v>
      </c>
      <c r="W33" s="11">
        <v>7</v>
      </c>
      <c r="X33" s="23">
        <f t="shared" si="8"/>
        <v>100</v>
      </c>
      <c r="Y33" s="13">
        <v>0</v>
      </c>
      <c r="Z33" s="21">
        <f t="shared" si="9"/>
      </c>
      <c r="AA33" s="11">
        <v>0</v>
      </c>
      <c r="AB33" s="83">
        <f t="shared" si="10"/>
      </c>
      <c r="AC33" s="13">
        <v>0</v>
      </c>
      <c r="AD33" s="23">
        <f>IF(AC33&gt;0,(AC33*100)/K33,"")</f>
      </c>
    </row>
    <row r="34" spans="1:30" ht="12.75">
      <c r="A34" s="15" t="s">
        <v>61</v>
      </c>
      <c r="B34" s="11">
        <v>57</v>
      </c>
      <c r="C34" s="34">
        <v>41</v>
      </c>
      <c r="D34" s="13">
        <v>35</v>
      </c>
      <c r="E34" s="12">
        <v>29</v>
      </c>
      <c r="F34" s="42">
        <v>1</v>
      </c>
      <c r="G34" s="13">
        <v>34</v>
      </c>
      <c r="H34" s="12">
        <v>27</v>
      </c>
      <c r="I34" s="78">
        <v>4</v>
      </c>
      <c r="J34" s="62">
        <f t="shared" si="1"/>
        <v>11.764705882352942</v>
      </c>
      <c r="K34" s="63">
        <v>2</v>
      </c>
      <c r="L34" s="64">
        <f t="shared" si="2"/>
        <v>7.407407407407407</v>
      </c>
      <c r="M34" s="13">
        <v>0</v>
      </c>
      <c r="N34" s="21">
        <f t="shared" si="3"/>
      </c>
      <c r="O34" s="11">
        <v>0</v>
      </c>
      <c r="P34" s="23">
        <f t="shared" si="4"/>
      </c>
      <c r="Q34" s="13">
        <v>2</v>
      </c>
      <c r="R34" s="21">
        <f t="shared" si="5"/>
        <v>5.882352941176471</v>
      </c>
      <c r="S34" s="11">
        <v>1</v>
      </c>
      <c r="T34" s="23">
        <f t="shared" si="6"/>
        <v>3.7037037037037037</v>
      </c>
      <c r="U34" s="11">
        <v>28</v>
      </c>
      <c r="V34" s="21">
        <f t="shared" si="7"/>
        <v>82.3529411764706</v>
      </c>
      <c r="W34" s="11">
        <v>24</v>
      </c>
      <c r="X34" s="23">
        <f t="shared" si="8"/>
        <v>88.88888888888889</v>
      </c>
      <c r="Y34" s="13">
        <v>0</v>
      </c>
      <c r="Z34" s="21">
        <f t="shared" si="9"/>
      </c>
      <c r="AA34" s="11">
        <v>0</v>
      </c>
      <c r="AB34" s="83">
        <f t="shared" si="10"/>
      </c>
      <c r="AC34" s="13">
        <v>0</v>
      </c>
      <c r="AD34" s="23">
        <f>IF(AC34&gt;0,(AC34*100)/K34,"")</f>
      </c>
    </row>
    <row r="35" spans="1:30" ht="12.75">
      <c r="A35" s="15" t="s">
        <v>71</v>
      </c>
      <c r="B35" s="11">
        <v>28</v>
      </c>
      <c r="C35" s="34">
        <v>4</v>
      </c>
      <c r="D35" s="13">
        <v>11</v>
      </c>
      <c r="E35" s="12">
        <v>6</v>
      </c>
      <c r="F35" s="42">
        <v>0</v>
      </c>
      <c r="G35" s="13">
        <v>11</v>
      </c>
      <c r="H35" s="12">
        <v>5</v>
      </c>
      <c r="I35" s="78">
        <v>0</v>
      </c>
      <c r="J35" s="62">
        <f t="shared" si="1"/>
      </c>
      <c r="K35" s="63">
        <v>1</v>
      </c>
      <c r="L35" s="64">
        <f t="shared" si="2"/>
        <v>20</v>
      </c>
      <c r="M35" s="13">
        <v>2</v>
      </c>
      <c r="N35" s="21">
        <f t="shared" si="3"/>
        <v>18.181818181818183</v>
      </c>
      <c r="O35" s="11">
        <v>0</v>
      </c>
      <c r="P35" s="23">
        <f t="shared" si="4"/>
      </c>
      <c r="Q35" s="13">
        <v>1</v>
      </c>
      <c r="R35" s="21">
        <f t="shared" si="5"/>
        <v>9.090909090909092</v>
      </c>
      <c r="S35" s="11">
        <v>0</v>
      </c>
      <c r="T35" s="23">
        <f t="shared" si="6"/>
      </c>
      <c r="U35" s="11">
        <v>6</v>
      </c>
      <c r="V35" s="21">
        <f t="shared" si="7"/>
        <v>54.54545454545455</v>
      </c>
      <c r="W35" s="11">
        <v>2</v>
      </c>
      <c r="X35" s="23">
        <f>IF(W35&gt;0,(W35*100)/H35,"")</f>
        <v>40</v>
      </c>
      <c r="Y35" s="13">
        <v>1</v>
      </c>
      <c r="Z35" s="21">
        <f t="shared" si="9"/>
        <v>9.090909090909092</v>
      </c>
      <c r="AA35" s="11">
        <v>0</v>
      </c>
      <c r="AB35" s="83">
        <f t="shared" si="10"/>
      </c>
      <c r="AC35" s="13">
        <v>1</v>
      </c>
      <c r="AD35" s="23">
        <f>IF(AC35&gt;0,(AC35*100)/G35,"")</f>
        <v>9.090909090909092</v>
      </c>
    </row>
    <row r="36" spans="1:30" ht="12.75">
      <c r="A36" s="15" t="s">
        <v>38</v>
      </c>
      <c r="B36" s="11"/>
      <c r="C36" s="34">
        <f>17+69</f>
        <v>86</v>
      </c>
      <c r="D36" s="13"/>
      <c r="E36" s="12">
        <v>46</v>
      </c>
      <c r="F36" s="42"/>
      <c r="G36" s="13"/>
      <c r="H36" s="12">
        <v>43</v>
      </c>
      <c r="I36" s="78"/>
      <c r="J36" s="62">
        <f t="shared" si="1"/>
      </c>
      <c r="K36" s="63">
        <v>10</v>
      </c>
      <c r="L36" s="64">
        <f t="shared" si="2"/>
        <v>23.25581395348837</v>
      </c>
      <c r="M36" s="13"/>
      <c r="N36" s="21">
        <f t="shared" si="3"/>
      </c>
      <c r="O36" s="11">
        <v>4</v>
      </c>
      <c r="P36" s="23">
        <f t="shared" si="4"/>
        <v>9.30232558139535</v>
      </c>
      <c r="Q36" s="13"/>
      <c r="R36" s="21">
        <f t="shared" si="5"/>
      </c>
      <c r="S36" s="11">
        <v>0</v>
      </c>
      <c r="T36" s="23">
        <f t="shared" si="6"/>
      </c>
      <c r="U36" s="11"/>
      <c r="V36" s="21">
        <f t="shared" si="7"/>
      </c>
      <c r="W36" s="11">
        <v>29</v>
      </c>
      <c r="X36" s="23">
        <f t="shared" si="8"/>
        <v>67.44186046511628</v>
      </c>
      <c r="Y36" s="13"/>
      <c r="Z36" s="21">
        <f t="shared" si="9"/>
      </c>
      <c r="AA36" s="11">
        <v>2</v>
      </c>
      <c r="AB36" s="83">
        <f t="shared" si="10"/>
        <v>4.651162790697675</v>
      </c>
      <c r="AC36" s="13"/>
      <c r="AD36" s="23">
        <f>IF(AC36&gt;0,(AC36*100)/K36,"")</f>
      </c>
    </row>
    <row r="37" spans="1:30" ht="12.75">
      <c r="A37" s="16" t="s">
        <v>41</v>
      </c>
      <c r="B37" s="11"/>
      <c r="C37" s="34"/>
      <c r="D37" s="13"/>
      <c r="E37" s="12"/>
      <c r="F37" s="42"/>
      <c r="G37" s="13"/>
      <c r="H37" s="12"/>
      <c r="I37" s="78"/>
      <c r="J37" s="62">
        <f t="shared" si="1"/>
      </c>
      <c r="K37" s="65"/>
      <c r="L37" s="64">
        <f t="shared" si="2"/>
      </c>
      <c r="M37" s="13"/>
      <c r="N37" s="21">
        <f t="shared" si="3"/>
      </c>
      <c r="O37" s="17"/>
      <c r="P37" s="23">
        <f t="shared" si="4"/>
      </c>
      <c r="Q37" s="13"/>
      <c r="R37" s="21">
        <f t="shared" si="5"/>
      </c>
      <c r="S37" s="17"/>
      <c r="T37" s="23">
        <f t="shared" si="6"/>
      </c>
      <c r="U37" s="11"/>
      <c r="V37" s="21">
        <f t="shared" si="7"/>
      </c>
      <c r="W37" s="17"/>
      <c r="X37" s="23">
        <f t="shared" si="8"/>
      </c>
      <c r="Y37" s="13"/>
      <c r="Z37" s="21">
        <f t="shared" si="9"/>
      </c>
      <c r="AA37" s="17"/>
      <c r="AB37" s="83">
        <f t="shared" si="10"/>
      </c>
      <c r="AC37" s="13"/>
      <c r="AD37" s="23">
        <f>IF(AC37&gt;0,(AC37*100)/K37,"")</f>
      </c>
    </row>
    <row r="38" spans="1:30" ht="12.75">
      <c r="A38" s="15" t="s">
        <v>44</v>
      </c>
      <c r="B38" s="11"/>
      <c r="C38" s="34"/>
      <c r="D38" s="13"/>
      <c r="E38" s="12"/>
      <c r="F38" s="42"/>
      <c r="G38" s="13"/>
      <c r="H38" s="12"/>
      <c r="I38" s="78"/>
      <c r="J38" s="62">
        <f t="shared" si="1"/>
      </c>
      <c r="K38" s="63"/>
      <c r="L38" s="64">
        <f t="shared" si="2"/>
      </c>
      <c r="M38" s="13"/>
      <c r="N38" s="21">
        <f t="shared" si="3"/>
      </c>
      <c r="O38" s="11"/>
      <c r="P38" s="23">
        <f t="shared" si="4"/>
      </c>
      <c r="Q38" s="13"/>
      <c r="R38" s="21">
        <f t="shared" si="5"/>
      </c>
      <c r="S38" s="11"/>
      <c r="T38" s="23">
        <f t="shared" si="6"/>
      </c>
      <c r="U38" s="11"/>
      <c r="V38" s="21">
        <f t="shared" si="7"/>
      </c>
      <c r="W38" s="11"/>
      <c r="X38" s="23">
        <f t="shared" si="8"/>
      </c>
      <c r="Y38" s="13"/>
      <c r="Z38" s="21">
        <f t="shared" si="9"/>
      </c>
      <c r="AA38" s="11"/>
      <c r="AB38" s="83">
        <f t="shared" si="10"/>
      </c>
      <c r="AC38" s="13"/>
      <c r="AD38" s="23">
        <f>IF(AC38&gt;0,(AC38*100)/K38,"")</f>
      </c>
    </row>
    <row r="39" spans="1:30" ht="13.5" thickBot="1">
      <c r="A39" s="16"/>
      <c r="B39" s="11"/>
      <c r="C39" s="34"/>
      <c r="D39" s="13"/>
      <c r="E39" s="12"/>
      <c r="F39" s="42"/>
      <c r="G39" s="13"/>
      <c r="H39" s="12"/>
      <c r="I39" s="80"/>
      <c r="J39" s="67">
        <f t="shared" si="1"/>
      </c>
      <c r="K39" s="65"/>
      <c r="L39" s="68">
        <f t="shared" si="2"/>
      </c>
      <c r="M39" s="26"/>
      <c r="N39" s="29">
        <f t="shared" si="3"/>
      </c>
      <c r="O39" s="17"/>
      <c r="P39" s="35">
        <f t="shared" si="4"/>
      </c>
      <c r="Q39" s="26"/>
      <c r="R39" s="29">
        <f t="shared" si="5"/>
      </c>
      <c r="S39" s="17"/>
      <c r="T39" s="35">
        <f t="shared" si="6"/>
      </c>
      <c r="U39" s="25"/>
      <c r="V39" s="29">
        <f t="shared" si="7"/>
      </c>
      <c r="W39" s="17"/>
      <c r="X39" s="35">
        <f t="shared" si="8"/>
      </c>
      <c r="Y39" s="26"/>
      <c r="Z39" s="29">
        <f t="shared" si="9"/>
      </c>
      <c r="AA39" s="17"/>
      <c r="AB39" s="84">
        <f t="shared" si="10"/>
      </c>
      <c r="AC39" s="26"/>
      <c r="AD39" s="35">
        <f>IF(AC39&gt;0,(AC39*100)/K39,"")</f>
      </c>
    </row>
    <row r="40" spans="1:30" ht="13.5" thickBot="1">
      <c r="A40" s="3" t="s">
        <v>39</v>
      </c>
      <c r="B40" s="18">
        <f>SUM(B6:B38)</f>
        <v>8692</v>
      </c>
      <c r="C40" s="32">
        <f aca="true" t="shared" si="11" ref="C40:H40">SUM(C6:C36)</f>
        <v>8188</v>
      </c>
      <c r="D40" s="33">
        <f t="shared" si="11"/>
        <v>4800</v>
      </c>
      <c r="E40" s="19">
        <f t="shared" si="11"/>
        <v>4528</v>
      </c>
      <c r="F40" s="43">
        <f t="shared" si="11"/>
        <v>245</v>
      </c>
      <c r="G40" s="33">
        <f t="shared" si="11"/>
        <v>4555</v>
      </c>
      <c r="H40" s="19">
        <f t="shared" si="11"/>
        <v>4291</v>
      </c>
      <c r="I40" s="69">
        <f>SUM(I6:I36)</f>
        <v>822</v>
      </c>
      <c r="J40" s="70">
        <f t="shared" si="1"/>
        <v>18.04610318331504</v>
      </c>
      <c r="K40" s="71">
        <f>SUM(K6:K36)</f>
        <v>877</v>
      </c>
      <c r="L40" s="72">
        <f t="shared" si="2"/>
        <v>20.438126310883245</v>
      </c>
      <c r="M40" s="33">
        <f>SUM(M6:M36)</f>
        <v>269</v>
      </c>
      <c r="N40" s="22">
        <f t="shared" si="3"/>
        <v>5.905598243688255</v>
      </c>
      <c r="O40" s="18">
        <f>SUM(O6:O36)</f>
        <v>360</v>
      </c>
      <c r="P40" s="36">
        <f t="shared" si="4"/>
        <v>8.389652761594034</v>
      </c>
      <c r="Q40" s="33">
        <f>SUM(Q6:Q36)</f>
        <v>402</v>
      </c>
      <c r="R40" s="22">
        <f t="shared" si="5"/>
        <v>8.825466520307355</v>
      </c>
      <c r="S40" s="18">
        <f>SUM(S6:S36)</f>
        <v>450</v>
      </c>
      <c r="T40" s="36">
        <f t="shared" si="6"/>
        <v>10.487065951992543</v>
      </c>
      <c r="U40" s="33">
        <f>SUM(U6:U36)</f>
        <v>2446</v>
      </c>
      <c r="V40" s="22">
        <f t="shared" si="7"/>
        <v>53.69923161361142</v>
      </c>
      <c r="W40" s="18">
        <f>SUM(W6:W36)</f>
        <v>2215</v>
      </c>
      <c r="X40" s="36">
        <f t="shared" si="8"/>
        <v>51.61966907480774</v>
      </c>
      <c r="Y40" s="33">
        <f>SUM(Y6:Y36)</f>
        <v>438</v>
      </c>
      <c r="Z40" s="22">
        <f t="shared" si="9"/>
        <v>9.615806805708013</v>
      </c>
      <c r="AA40" s="18">
        <f>SUM(AA6:AA36)</f>
        <v>384</v>
      </c>
      <c r="AB40" s="85">
        <f t="shared" si="10"/>
        <v>8.948962945700304</v>
      </c>
      <c r="AC40" s="33">
        <f>SUM(AC6:AC36)</f>
        <v>178</v>
      </c>
      <c r="AD40" s="37">
        <f>IF(AC40&gt;0,(AC40*100)/H40,"")</f>
        <v>4.148217198788161</v>
      </c>
    </row>
  </sheetData>
  <mergeCells count="4">
    <mergeCell ref="B4:C4"/>
    <mergeCell ref="D4:E4"/>
    <mergeCell ref="G4:H4"/>
    <mergeCell ref="AC4:AD4"/>
  </mergeCells>
  <printOptions/>
  <pageMargins left="0.75" right="0.75" top="1" bottom="1" header="0.4921259845" footer="0.4921259845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B40"/>
  <sheetViews>
    <sheetView workbookViewId="0" topLeftCell="B8">
      <selection activeCell="G29" sqref="G29"/>
    </sheetView>
  </sheetViews>
  <sheetFormatPr defaultColWidth="11.421875" defaultRowHeight="12.75"/>
  <cols>
    <col min="1" max="1" width="11.8515625" style="0" customWidth="1"/>
    <col min="2" max="5" width="4.421875" style="0" bestFit="1" customWidth="1"/>
    <col min="6" max="6" width="4.8515625" style="0" bestFit="1" customWidth="1"/>
    <col min="7" max="9" width="4.421875" style="0" bestFit="1" customWidth="1"/>
    <col min="10" max="10" width="7.28125" style="0" bestFit="1" customWidth="1"/>
    <col min="11" max="11" width="4.421875" style="0" bestFit="1" customWidth="1"/>
    <col min="12" max="12" width="7.28125" style="0" bestFit="1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7.28125" style="0" bestFit="1" customWidth="1"/>
    <col min="19" max="19" width="4.421875" style="0" bestFit="1" customWidth="1"/>
    <col min="20" max="20" width="7.28125" style="0" bestFit="1" customWidth="1"/>
    <col min="21" max="21" width="4.421875" style="0" bestFit="1" customWidth="1"/>
    <col min="22" max="22" width="8.140625" style="0" customWidth="1"/>
    <col min="23" max="23" width="4.421875" style="0" bestFit="1" customWidth="1"/>
    <col min="24" max="24" width="8.140625" style="0" bestFit="1" customWidth="1"/>
    <col min="25" max="25" width="4.421875" style="0" bestFit="1" customWidth="1"/>
    <col min="26" max="26" width="7.28125" style="0" bestFit="1" customWidth="1"/>
    <col min="27" max="27" width="4.421875" style="0" bestFit="1" customWidth="1"/>
    <col min="28" max="28" width="7.28125" style="0" bestFit="1" customWidth="1"/>
  </cols>
  <sheetData>
    <row r="1" spans="1:28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6"/>
      <c r="I4" s="57" t="s">
        <v>1</v>
      </c>
      <c r="J4" s="57"/>
      <c r="K4" s="57"/>
      <c r="L4" s="57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4"/>
      <c r="Y4" s="4" t="s">
        <v>4</v>
      </c>
      <c r="Z4" s="4"/>
      <c r="AA4" s="4"/>
      <c r="AB4" s="4"/>
    </row>
    <row r="5" spans="1:28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20">
        <v>2005</v>
      </c>
      <c r="I5" s="82">
        <v>2008</v>
      </c>
      <c r="J5" s="59" t="s">
        <v>9</v>
      </c>
      <c r="K5" s="59">
        <v>2005</v>
      </c>
      <c r="L5" s="60" t="s">
        <v>9</v>
      </c>
      <c r="M5" s="6">
        <v>2008</v>
      </c>
      <c r="N5" s="8" t="s">
        <v>9</v>
      </c>
      <c r="O5" s="8">
        <v>2005</v>
      </c>
      <c r="P5" s="9" t="s">
        <v>9</v>
      </c>
      <c r="Q5" s="6">
        <v>2008</v>
      </c>
      <c r="R5" s="8" t="s">
        <v>9</v>
      </c>
      <c r="S5" s="8">
        <v>2005</v>
      </c>
      <c r="T5" s="9" t="s">
        <v>9</v>
      </c>
      <c r="U5" s="6">
        <v>2008</v>
      </c>
      <c r="V5" s="8" t="s">
        <v>9</v>
      </c>
      <c r="W5" s="8">
        <v>2005</v>
      </c>
      <c r="X5" s="9" t="s">
        <v>9</v>
      </c>
      <c r="Y5" s="6">
        <v>2008</v>
      </c>
      <c r="Z5" s="8" t="s">
        <v>9</v>
      </c>
      <c r="AA5" s="8">
        <v>2005</v>
      </c>
      <c r="AB5" s="30" t="s">
        <v>9</v>
      </c>
    </row>
    <row r="6" spans="1:28" ht="12.75">
      <c r="A6" s="10" t="s">
        <v>10</v>
      </c>
      <c r="B6" s="11">
        <v>118</v>
      </c>
      <c r="C6" s="11">
        <v>96</v>
      </c>
      <c r="D6" s="13">
        <v>65</v>
      </c>
      <c r="E6" s="13">
        <v>61</v>
      </c>
      <c r="F6" s="42">
        <v>4</v>
      </c>
      <c r="G6" s="13">
        <v>61</v>
      </c>
      <c r="H6" s="101">
        <v>58</v>
      </c>
      <c r="I6" s="78">
        <v>14</v>
      </c>
      <c r="J6" s="62">
        <f>IF(I6&gt;0,(I6*100)/G6,"")</f>
        <v>22.950819672131146</v>
      </c>
      <c r="K6" s="61">
        <v>15</v>
      </c>
      <c r="L6" s="64">
        <f>IF(K6&gt;0,(K6*100)/H6,"")</f>
        <v>25.862068965517242</v>
      </c>
      <c r="M6" s="13">
        <v>4</v>
      </c>
      <c r="N6" s="21">
        <f>IF(M6&gt;0,(M6*100)/G6,"")</f>
        <v>6.557377049180328</v>
      </c>
      <c r="O6" s="13">
        <v>6</v>
      </c>
      <c r="P6" s="23">
        <f>IF(O6&gt;0,(O6*100)/H6,"")</f>
        <v>10.344827586206897</v>
      </c>
      <c r="Q6" s="13">
        <v>2</v>
      </c>
      <c r="R6" s="21">
        <f>IF(Q6&gt;0,(Q6*100)/G6,"")</f>
        <v>3.278688524590164</v>
      </c>
      <c r="S6" s="13">
        <v>6</v>
      </c>
      <c r="T6" s="23">
        <f>IF(S6&gt;0,(S6*100)/H6,"")</f>
        <v>10.344827586206897</v>
      </c>
      <c r="U6" s="11">
        <v>34</v>
      </c>
      <c r="V6" s="21">
        <f>IF(U6&gt;0,(U6*100)/G6,"")</f>
        <v>55.73770491803279</v>
      </c>
      <c r="W6" s="11">
        <v>29</v>
      </c>
      <c r="X6" s="23">
        <f>IF(W6&gt;0,(W6*100)/H6,"")</f>
        <v>50</v>
      </c>
      <c r="Y6" s="13">
        <v>7</v>
      </c>
      <c r="Z6" s="21">
        <f>IF(Y6&gt;0,(Y6*100)/G6,"")</f>
        <v>11.475409836065573</v>
      </c>
      <c r="AA6" s="13">
        <v>2</v>
      </c>
      <c r="AB6" s="38">
        <f>IF(AA6&gt;0,(AA6*100)/H6,"")</f>
        <v>3.4482758620689653</v>
      </c>
    </row>
    <row r="7" spans="1:28" ht="12.75">
      <c r="A7" s="15" t="s">
        <v>11</v>
      </c>
      <c r="B7" s="11">
        <v>38</v>
      </c>
      <c r="C7" s="11">
        <v>35</v>
      </c>
      <c r="D7" s="13">
        <v>21</v>
      </c>
      <c r="E7" s="13">
        <v>22</v>
      </c>
      <c r="F7" s="42">
        <v>3</v>
      </c>
      <c r="G7" s="13">
        <v>18</v>
      </c>
      <c r="H7" s="101">
        <v>20</v>
      </c>
      <c r="I7" s="78">
        <v>1</v>
      </c>
      <c r="J7" s="62">
        <f aca="true" t="shared" si="0" ref="J7:J40">IF(I7&gt;0,(I7*100)/G7,"")</f>
        <v>5.555555555555555</v>
      </c>
      <c r="K7" s="61">
        <v>0</v>
      </c>
      <c r="L7" s="64">
        <f aca="true" t="shared" si="1" ref="L7:L40">IF(K7&gt;0,(K7*100)/H7,"")</f>
      </c>
      <c r="M7" s="13">
        <v>1</v>
      </c>
      <c r="N7" s="21">
        <f aca="true" t="shared" si="2" ref="N7:N40">IF(M7&gt;0,(M7*100)/G7,"")</f>
        <v>5.555555555555555</v>
      </c>
      <c r="O7" s="13">
        <v>1</v>
      </c>
      <c r="P7" s="23">
        <f aca="true" t="shared" si="3" ref="P7:P40">IF(O7&gt;0,(O7*100)/H7,"")</f>
        <v>5</v>
      </c>
      <c r="Q7" s="13">
        <v>5</v>
      </c>
      <c r="R7" s="21">
        <f aca="true" t="shared" si="4" ref="R7:R40">IF(Q7&gt;0,(Q7*100)/G7,"")</f>
        <v>27.77777777777778</v>
      </c>
      <c r="S7" s="13">
        <v>1</v>
      </c>
      <c r="T7" s="23">
        <f aca="true" t="shared" si="5" ref="T7:T40">IF(S7&gt;0,(S7*100)/H7,"")</f>
        <v>5</v>
      </c>
      <c r="U7" s="11">
        <v>7</v>
      </c>
      <c r="V7" s="21">
        <f aca="true" t="shared" si="6" ref="V7:V40">IF(U7&gt;0,(U7*100)/G7,"")</f>
        <v>38.888888888888886</v>
      </c>
      <c r="W7" s="11">
        <v>11</v>
      </c>
      <c r="X7" s="23">
        <f aca="true" t="shared" si="7" ref="X7:X40">IF(W7&gt;0,(W7*100)/H7,"")</f>
        <v>55</v>
      </c>
      <c r="Y7" s="13">
        <v>4</v>
      </c>
      <c r="Z7" s="21">
        <f aca="true" t="shared" si="8" ref="Z7:Z40">IF(Y7&gt;0,(Y7*100)/G7,"")</f>
        <v>22.22222222222222</v>
      </c>
      <c r="AA7" s="13">
        <v>7</v>
      </c>
      <c r="AB7" s="38">
        <f aca="true" t="shared" si="9" ref="AB7:AB40">IF(AA7&gt;0,(AA7*100)/H7,"")</f>
        <v>35</v>
      </c>
    </row>
    <row r="8" spans="1:28" ht="12.75">
      <c r="A8" s="15" t="s">
        <v>13</v>
      </c>
      <c r="B8" s="11">
        <v>58</v>
      </c>
      <c r="C8" s="11">
        <v>47</v>
      </c>
      <c r="D8" s="13">
        <v>27</v>
      </c>
      <c r="E8" s="13">
        <v>29</v>
      </c>
      <c r="F8" s="42">
        <v>0</v>
      </c>
      <c r="G8" s="13">
        <v>27</v>
      </c>
      <c r="H8" s="101">
        <v>27</v>
      </c>
      <c r="I8" s="78">
        <v>7</v>
      </c>
      <c r="J8" s="62">
        <f t="shared" si="0"/>
        <v>25.925925925925927</v>
      </c>
      <c r="K8" s="61">
        <v>5</v>
      </c>
      <c r="L8" s="64">
        <f t="shared" si="1"/>
        <v>18.51851851851852</v>
      </c>
      <c r="M8" s="13">
        <v>1</v>
      </c>
      <c r="N8" s="21">
        <f t="shared" si="2"/>
        <v>3.7037037037037037</v>
      </c>
      <c r="O8" s="13">
        <v>1</v>
      </c>
      <c r="P8" s="23">
        <f t="shared" si="3"/>
        <v>3.7037037037037037</v>
      </c>
      <c r="Q8" s="13">
        <v>2</v>
      </c>
      <c r="R8" s="21">
        <f t="shared" si="4"/>
        <v>7.407407407407407</v>
      </c>
      <c r="S8" s="13">
        <v>4</v>
      </c>
      <c r="T8" s="23">
        <f t="shared" si="5"/>
        <v>14.814814814814815</v>
      </c>
      <c r="U8" s="11">
        <v>16</v>
      </c>
      <c r="V8" s="21">
        <f t="shared" si="6"/>
        <v>59.25925925925926</v>
      </c>
      <c r="W8" s="11">
        <v>16</v>
      </c>
      <c r="X8" s="23">
        <f t="shared" si="7"/>
        <v>59.25925925925926</v>
      </c>
      <c r="Y8" s="13">
        <v>1</v>
      </c>
      <c r="Z8" s="21">
        <f t="shared" si="8"/>
        <v>3.7037037037037037</v>
      </c>
      <c r="AA8" s="13">
        <v>1</v>
      </c>
      <c r="AB8" s="38">
        <f t="shared" si="9"/>
        <v>3.7037037037037037</v>
      </c>
    </row>
    <row r="9" spans="1:28" ht="12.75">
      <c r="A9" s="15" t="s">
        <v>14</v>
      </c>
      <c r="B9" s="11">
        <v>94</v>
      </c>
      <c r="C9" s="11">
        <v>87</v>
      </c>
      <c r="D9" s="13">
        <v>63</v>
      </c>
      <c r="E9" s="13">
        <v>51</v>
      </c>
      <c r="F9" s="42">
        <v>1</v>
      </c>
      <c r="G9" s="13">
        <v>62</v>
      </c>
      <c r="H9" s="101">
        <v>45</v>
      </c>
      <c r="I9" s="78">
        <v>14</v>
      </c>
      <c r="J9" s="62">
        <f t="shared" si="0"/>
        <v>22.580645161290324</v>
      </c>
      <c r="K9" s="61">
        <v>11</v>
      </c>
      <c r="L9" s="64">
        <f t="shared" si="1"/>
        <v>24.444444444444443</v>
      </c>
      <c r="M9" s="13">
        <v>0</v>
      </c>
      <c r="N9" s="21">
        <f t="shared" si="2"/>
      </c>
      <c r="O9" s="13">
        <v>1</v>
      </c>
      <c r="P9" s="23">
        <f t="shared" si="3"/>
        <v>2.2222222222222223</v>
      </c>
      <c r="Q9" s="13">
        <v>6</v>
      </c>
      <c r="R9" s="21">
        <f t="shared" si="4"/>
        <v>9.67741935483871</v>
      </c>
      <c r="S9" s="13">
        <v>6</v>
      </c>
      <c r="T9" s="23">
        <f t="shared" si="5"/>
        <v>13.333333333333334</v>
      </c>
      <c r="U9" s="11">
        <v>38</v>
      </c>
      <c r="V9" s="21">
        <f t="shared" si="6"/>
        <v>61.29032258064516</v>
      </c>
      <c r="W9" s="11">
        <v>26</v>
      </c>
      <c r="X9" s="23">
        <f t="shared" si="7"/>
        <v>57.77777777777778</v>
      </c>
      <c r="Y9" s="13">
        <v>4</v>
      </c>
      <c r="Z9" s="21">
        <f t="shared" si="8"/>
        <v>6.451612903225806</v>
      </c>
      <c r="AA9" s="13">
        <v>1</v>
      </c>
      <c r="AB9" s="38">
        <f t="shared" si="9"/>
        <v>2.2222222222222223</v>
      </c>
    </row>
    <row r="10" spans="1:28" ht="12.75">
      <c r="A10" s="15" t="s">
        <v>15</v>
      </c>
      <c r="B10" s="11">
        <v>28</v>
      </c>
      <c r="C10" s="11">
        <v>27</v>
      </c>
      <c r="D10" s="13">
        <v>10</v>
      </c>
      <c r="E10" s="13">
        <v>12</v>
      </c>
      <c r="F10" s="42">
        <v>0</v>
      </c>
      <c r="G10" s="13">
        <v>10</v>
      </c>
      <c r="H10" s="101">
        <v>12</v>
      </c>
      <c r="I10" s="78">
        <v>3</v>
      </c>
      <c r="J10" s="62">
        <f t="shared" si="0"/>
        <v>30</v>
      </c>
      <c r="K10" s="61">
        <v>1</v>
      </c>
      <c r="L10" s="64">
        <f t="shared" si="1"/>
        <v>8.333333333333334</v>
      </c>
      <c r="M10" s="13">
        <v>1</v>
      </c>
      <c r="N10" s="21">
        <f t="shared" si="2"/>
        <v>10</v>
      </c>
      <c r="O10" s="13">
        <v>1</v>
      </c>
      <c r="P10" s="23">
        <f t="shared" si="3"/>
        <v>8.333333333333334</v>
      </c>
      <c r="Q10" s="13">
        <v>3</v>
      </c>
      <c r="R10" s="21">
        <f t="shared" si="4"/>
        <v>30</v>
      </c>
      <c r="S10" s="13">
        <v>4</v>
      </c>
      <c r="T10" s="23">
        <f t="shared" si="5"/>
        <v>33.333333333333336</v>
      </c>
      <c r="U10" s="11">
        <v>1</v>
      </c>
      <c r="V10" s="21">
        <f t="shared" si="6"/>
        <v>10</v>
      </c>
      <c r="W10" s="11">
        <v>0</v>
      </c>
      <c r="X10" s="23">
        <f t="shared" si="7"/>
      </c>
      <c r="Y10" s="13">
        <v>2</v>
      </c>
      <c r="Z10" s="21">
        <f t="shared" si="8"/>
        <v>20</v>
      </c>
      <c r="AA10" s="13">
        <v>6</v>
      </c>
      <c r="AB10" s="38">
        <f t="shared" si="9"/>
        <v>50</v>
      </c>
    </row>
    <row r="11" spans="1:28" ht="12.75">
      <c r="A11" s="15" t="s">
        <v>16</v>
      </c>
      <c r="B11" s="11">
        <v>44</v>
      </c>
      <c r="C11" s="11">
        <v>37</v>
      </c>
      <c r="D11" s="13">
        <v>31</v>
      </c>
      <c r="E11" s="13">
        <v>24</v>
      </c>
      <c r="F11" s="42">
        <v>2</v>
      </c>
      <c r="G11" s="13">
        <v>29</v>
      </c>
      <c r="H11" s="101">
        <v>24</v>
      </c>
      <c r="I11" s="78">
        <v>3</v>
      </c>
      <c r="J11" s="62">
        <f t="shared" si="0"/>
        <v>10.344827586206897</v>
      </c>
      <c r="K11" s="61">
        <v>1</v>
      </c>
      <c r="L11" s="64">
        <f t="shared" si="1"/>
        <v>4.166666666666667</v>
      </c>
      <c r="M11" s="13">
        <v>1</v>
      </c>
      <c r="N11" s="21">
        <f t="shared" si="2"/>
        <v>3.4482758620689653</v>
      </c>
      <c r="O11" s="13">
        <v>0</v>
      </c>
      <c r="P11" s="23">
        <f t="shared" si="3"/>
      </c>
      <c r="Q11" s="13">
        <v>0</v>
      </c>
      <c r="R11" s="21">
        <f t="shared" si="4"/>
      </c>
      <c r="S11" s="13">
        <v>2</v>
      </c>
      <c r="T11" s="23">
        <f t="shared" si="5"/>
        <v>8.333333333333334</v>
      </c>
      <c r="U11" s="11">
        <v>24</v>
      </c>
      <c r="V11" s="21">
        <f t="shared" si="6"/>
        <v>82.75862068965517</v>
      </c>
      <c r="W11" s="11">
        <v>20</v>
      </c>
      <c r="X11" s="23">
        <f t="shared" si="7"/>
        <v>83.33333333333333</v>
      </c>
      <c r="Y11" s="13">
        <v>1</v>
      </c>
      <c r="Z11" s="21">
        <f t="shared" si="8"/>
        <v>3.4482758620689653</v>
      </c>
      <c r="AA11" s="13">
        <v>1</v>
      </c>
      <c r="AB11" s="38">
        <f t="shared" si="9"/>
        <v>4.166666666666667</v>
      </c>
    </row>
    <row r="12" spans="1:28" ht="12.75">
      <c r="A12" s="15" t="s">
        <v>57</v>
      </c>
      <c r="B12" s="11">
        <v>11</v>
      </c>
      <c r="C12" s="11">
        <v>10</v>
      </c>
      <c r="D12" s="13">
        <v>7</v>
      </c>
      <c r="E12" s="13">
        <v>6</v>
      </c>
      <c r="F12" s="42">
        <v>0</v>
      </c>
      <c r="G12" s="13">
        <v>7</v>
      </c>
      <c r="H12" s="101">
        <v>6</v>
      </c>
      <c r="I12" s="78">
        <v>0</v>
      </c>
      <c r="J12" s="62">
        <f t="shared" si="0"/>
      </c>
      <c r="K12" s="61">
        <v>1</v>
      </c>
      <c r="L12" s="64">
        <f t="shared" si="1"/>
        <v>16.666666666666668</v>
      </c>
      <c r="M12" s="13">
        <v>0</v>
      </c>
      <c r="N12" s="21">
        <f t="shared" si="2"/>
      </c>
      <c r="O12" s="13">
        <v>0</v>
      </c>
      <c r="P12" s="23">
        <f t="shared" si="3"/>
      </c>
      <c r="Q12" s="13">
        <v>0</v>
      </c>
      <c r="R12" s="21">
        <f t="shared" si="4"/>
      </c>
      <c r="S12" s="13">
        <v>1</v>
      </c>
      <c r="T12" s="23">
        <f t="shared" si="5"/>
        <v>16.666666666666668</v>
      </c>
      <c r="U12" s="11">
        <v>7</v>
      </c>
      <c r="V12" s="21">
        <f t="shared" si="6"/>
        <v>100</v>
      </c>
      <c r="W12" s="11">
        <v>4</v>
      </c>
      <c r="X12" s="23">
        <f t="shared" si="7"/>
        <v>66.66666666666667</v>
      </c>
      <c r="Y12" s="13">
        <v>0</v>
      </c>
      <c r="Z12" s="21">
        <f t="shared" si="8"/>
      </c>
      <c r="AA12" s="13">
        <v>0</v>
      </c>
      <c r="AB12" s="38">
        <f t="shared" si="9"/>
      </c>
    </row>
    <row r="13" spans="1:28" ht="12.75">
      <c r="A13" s="15" t="s">
        <v>18</v>
      </c>
      <c r="B13" s="11">
        <v>120</v>
      </c>
      <c r="C13" s="11">
        <v>96</v>
      </c>
      <c r="D13" s="13">
        <v>46</v>
      </c>
      <c r="E13" s="13">
        <v>48</v>
      </c>
      <c r="F13" s="42">
        <v>2</v>
      </c>
      <c r="G13" s="13">
        <v>44</v>
      </c>
      <c r="H13" s="101">
        <v>45</v>
      </c>
      <c r="I13" s="78">
        <v>10</v>
      </c>
      <c r="J13" s="62">
        <f t="shared" si="0"/>
        <v>22.727272727272727</v>
      </c>
      <c r="K13" s="61">
        <v>13</v>
      </c>
      <c r="L13" s="64">
        <f t="shared" si="1"/>
        <v>28.88888888888889</v>
      </c>
      <c r="M13" s="13">
        <v>1</v>
      </c>
      <c r="N13" s="21">
        <f t="shared" si="2"/>
        <v>2.272727272727273</v>
      </c>
      <c r="O13" s="13">
        <v>4</v>
      </c>
      <c r="P13" s="23">
        <f t="shared" si="3"/>
        <v>8.88888888888889</v>
      </c>
      <c r="Q13" s="13">
        <v>10</v>
      </c>
      <c r="R13" s="21">
        <f t="shared" si="4"/>
        <v>22.727272727272727</v>
      </c>
      <c r="S13" s="13">
        <v>7</v>
      </c>
      <c r="T13" s="23">
        <f t="shared" si="5"/>
        <v>15.555555555555555</v>
      </c>
      <c r="U13" s="11">
        <v>20</v>
      </c>
      <c r="V13" s="21">
        <f t="shared" si="6"/>
        <v>45.45454545454545</v>
      </c>
      <c r="W13" s="11">
        <v>14</v>
      </c>
      <c r="X13" s="23">
        <f t="shared" si="7"/>
        <v>31.11111111111111</v>
      </c>
      <c r="Y13" s="13">
        <v>3</v>
      </c>
      <c r="Z13" s="21">
        <f t="shared" si="8"/>
        <v>6.818181818181818</v>
      </c>
      <c r="AA13" s="13">
        <v>7</v>
      </c>
      <c r="AB13" s="38">
        <f t="shared" si="9"/>
        <v>15.555555555555555</v>
      </c>
    </row>
    <row r="14" spans="1:28" ht="12.75">
      <c r="A14" s="15" t="s">
        <v>19</v>
      </c>
      <c r="B14" s="11">
        <v>47</v>
      </c>
      <c r="C14" s="11">
        <v>42</v>
      </c>
      <c r="D14" s="13">
        <v>32</v>
      </c>
      <c r="E14" s="13">
        <v>21</v>
      </c>
      <c r="F14" s="42">
        <v>2</v>
      </c>
      <c r="G14" s="13">
        <v>30</v>
      </c>
      <c r="H14" s="101">
        <v>20</v>
      </c>
      <c r="I14" s="78">
        <v>0</v>
      </c>
      <c r="J14" s="62">
        <f t="shared" si="0"/>
      </c>
      <c r="K14" s="61">
        <v>0</v>
      </c>
      <c r="L14" s="64">
        <f t="shared" si="1"/>
      </c>
      <c r="M14" s="13">
        <v>2</v>
      </c>
      <c r="N14" s="21">
        <f t="shared" si="2"/>
        <v>6.666666666666667</v>
      </c>
      <c r="O14" s="13">
        <v>0</v>
      </c>
      <c r="P14" s="23">
        <f t="shared" si="3"/>
      </c>
      <c r="Q14" s="13">
        <v>4</v>
      </c>
      <c r="R14" s="21">
        <f t="shared" si="4"/>
        <v>13.333333333333334</v>
      </c>
      <c r="S14" s="13">
        <v>2</v>
      </c>
      <c r="T14" s="23">
        <f t="shared" si="5"/>
        <v>10</v>
      </c>
      <c r="U14" s="11">
        <v>18</v>
      </c>
      <c r="V14" s="21">
        <f t="shared" si="6"/>
        <v>60</v>
      </c>
      <c r="W14" s="11">
        <v>11</v>
      </c>
      <c r="X14" s="23">
        <f t="shared" si="7"/>
        <v>55</v>
      </c>
      <c r="Y14" s="13">
        <v>6</v>
      </c>
      <c r="Z14" s="21">
        <f t="shared" si="8"/>
        <v>20</v>
      </c>
      <c r="AA14" s="13">
        <v>7</v>
      </c>
      <c r="AB14" s="38">
        <f t="shared" si="9"/>
        <v>35</v>
      </c>
    </row>
    <row r="15" spans="1:28" ht="12.75">
      <c r="A15" s="15" t="s">
        <v>20</v>
      </c>
      <c r="B15" s="11">
        <v>130</v>
      </c>
      <c r="C15" s="11">
        <v>114</v>
      </c>
      <c r="D15" s="13">
        <v>72</v>
      </c>
      <c r="E15" s="13">
        <v>53</v>
      </c>
      <c r="F15" s="42">
        <v>4</v>
      </c>
      <c r="G15" s="13">
        <v>68</v>
      </c>
      <c r="H15" s="101">
        <v>50</v>
      </c>
      <c r="I15" s="78">
        <v>15</v>
      </c>
      <c r="J15" s="62">
        <f t="shared" si="0"/>
        <v>22.058823529411764</v>
      </c>
      <c r="K15" s="61">
        <v>9</v>
      </c>
      <c r="L15" s="64">
        <f t="shared" si="1"/>
        <v>18</v>
      </c>
      <c r="M15" s="13">
        <v>0</v>
      </c>
      <c r="N15" s="21">
        <f t="shared" si="2"/>
      </c>
      <c r="O15" s="13">
        <v>5</v>
      </c>
      <c r="P15" s="23">
        <f t="shared" si="3"/>
        <v>10</v>
      </c>
      <c r="Q15" s="13">
        <v>8</v>
      </c>
      <c r="R15" s="21">
        <f t="shared" si="4"/>
        <v>11.764705882352942</v>
      </c>
      <c r="S15" s="13">
        <v>1</v>
      </c>
      <c r="T15" s="23">
        <f t="shared" si="5"/>
        <v>2</v>
      </c>
      <c r="U15" s="11">
        <v>43</v>
      </c>
      <c r="V15" s="21">
        <f t="shared" si="6"/>
        <v>63.23529411764706</v>
      </c>
      <c r="W15" s="11">
        <v>31</v>
      </c>
      <c r="X15" s="23">
        <f t="shared" si="7"/>
        <v>62</v>
      </c>
      <c r="Y15" s="13">
        <v>2</v>
      </c>
      <c r="Z15" s="21">
        <f t="shared" si="8"/>
        <v>2.9411764705882355</v>
      </c>
      <c r="AA15" s="13">
        <v>4</v>
      </c>
      <c r="AB15" s="38">
        <f t="shared" si="9"/>
        <v>8</v>
      </c>
    </row>
    <row r="16" spans="1:28" ht="12.75">
      <c r="A16" s="15" t="s">
        <v>21</v>
      </c>
      <c r="B16" s="11">
        <v>147</v>
      </c>
      <c r="C16" s="11">
        <v>134</v>
      </c>
      <c r="D16" s="13">
        <v>80</v>
      </c>
      <c r="E16" s="13">
        <v>90</v>
      </c>
      <c r="F16" s="42">
        <v>1</v>
      </c>
      <c r="G16" s="13">
        <v>79</v>
      </c>
      <c r="H16" s="101">
        <v>81</v>
      </c>
      <c r="I16" s="78">
        <v>7</v>
      </c>
      <c r="J16" s="62">
        <f t="shared" si="0"/>
        <v>8.860759493670885</v>
      </c>
      <c r="K16" s="61">
        <v>16</v>
      </c>
      <c r="L16" s="64">
        <f t="shared" si="1"/>
        <v>19.753086419753085</v>
      </c>
      <c r="M16" s="13">
        <v>5</v>
      </c>
      <c r="N16" s="21">
        <f t="shared" si="2"/>
        <v>6.329113924050633</v>
      </c>
      <c r="O16" s="13">
        <v>6</v>
      </c>
      <c r="P16" s="23">
        <f t="shared" si="3"/>
        <v>7.407407407407407</v>
      </c>
      <c r="Q16" s="13">
        <v>4</v>
      </c>
      <c r="R16" s="21">
        <f t="shared" si="4"/>
        <v>5.063291139240507</v>
      </c>
      <c r="S16" s="13">
        <v>7</v>
      </c>
      <c r="T16" s="23">
        <f t="shared" si="5"/>
        <v>8.641975308641975</v>
      </c>
      <c r="U16" s="11">
        <v>58</v>
      </c>
      <c r="V16" s="21">
        <f t="shared" si="6"/>
        <v>73.41772151898734</v>
      </c>
      <c r="W16" s="11">
        <v>41</v>
      </c>
      <c r="X16" s="23">
        <f t="shared" si="7"/>
        <v>50.617283950617285</v>
      </c>
      <c r="Y16" s="13">
        <v>5</v>
      </c>
      <c r="Z16" s="21">
        <f t="shared" si="8"/>
        <v>6.329113924050633</v>
      </c>
      <c r="AA16" s="13">
        <v>11</v>
      </c>
      <c r="AB16" s="38">
        <f t="shared" si="9"/>
        <v>13.580246913580247</v>
      </c>
    </row>
    <row r="17" spans="1:28" ht="12.75">
      <c r="A17" s="15" t="s">
        <v>58</v>
      </c>
      <c r="B17" s="11">
        <v>15</v>
      </c>
      <c r="C17" s="11">
        <v>14</v>
      </c>
      <c r="D17" s="13">
        <v>11</v>
      </c>
      <c r="E17" s="13">
        <v>9</v>
      </c>
      <c r="F17" s="42">
        <v>0</v>
      </c>
      <c r="G17" s="13">
        <v>11</v>
      </c>
      <c r="H17" s="101">
        <v>9</v>
      </c>
      <c r="I17" s="78">
        <v>1</v>
      </c>
      <c r="J17" s="62">
        <f t="shared" si="0"/>
        <v>9.090909090909092</v>
      </c>
      <c r="K17" s="61">
        <v>1</v>
      </c>
      <c r="L17" s="64">
        <f t="shared" si="1"/>
        <v>11.11111111111111</v>
      </c>
      <c r="M17" s="13">
        <v>0</v>
      </c>
      <c r="N17" s="21">
        <f t="shared" si="2"/>
      </c>
      <c r="O17" s="13">
        <v>1</v>
      </c>
      <c r="P17" s="23">
        <f t="shared" si="3"/>
        <v>11.11111111111111</v>
      </c>
      <c r="Q17" s="13">
        <v>1</v>
      </c>
      <c r="R17" s="21">
        <f t="shared" si="4"/>
        <v>9.090909090909092</v>
      </c>
      <c r="S17" s="13">
        <v>1</v>
      </c>
      <c r="T17" s="23">
        <f t="shared" si="5"/>
        <v>11.11111111111111</v>
      </c>
      <c r="U17" s="11">
        <v>6</v>
      </c>
      <c r="V17" s="21">
        <f t="shared" si="6"/>
        <v>54.54545454545455</v>
      </c>
      <c r="W17" s="11">
        <v>4</v>
      </c>
      <c r="X17" s="23">
        <f t="shared" si="7"/>
        <v>44.44444444444444</v>
      </c>
      <c r="Y17" s="13">
        <v>3</v>
      </c>
      <c r="Z17" s="21">
        <f t="shared" si="8"/>
        <v>27.272727272727273</v>
      </c>
      <c r="AA17" s="13">
        <v>2</v>
      </c>
      <c r="AB17" s="38">
        <f t="shared" si="9"/>
        <v>22.22222222222222</v>
      </c>
    </row>
    <row r="18" spans="1:28" ht="12.75">
      <c r="A18" s="15" t="s">
        <v>23</v>
      </c>
      <c r="B18" s="11">
        <v>181</v>
      </c>
      <c r="C18" s="11">
        <f>(137)</f>
        <v>137</v>
      </c>
      <c r="D18" s="13">
        <v>100</v>
      </c>
      <c r="E18" s="13">
        <f>(79)</f>
        <v>79</v>
      </c>
      <c r="F18" s="42">
        <v>4</v>
      </c>
      <c r="G18" s="13">
        <v>96</v>
      </c>
      <c r="H18" s="101">
        <v>78</v>
      </c>
      <c r="I18" s="78">
        <v>10</v>
      </c>
      <c r="J18" s="62">
        <f t="shared" si="0"/>
        <v>10.416666666666666</v>
      </c>
      <c r="K18" s="61">
        <v>10</v>
      </c>
      <c r="L18" s="64">
        <f t="shared" si="1"/>
        <v>12.820512820512821</v>
      </c>
      <c r="M18" s="13">
        <v>2</v>
      </c>
      <c r="N18" s="21">
        <f t="shared" si="2"/>
        <v>2.0833333333333335</v>
      </c>
      <c r="O18" s="13">
        <v>1</v>
      </c>
      <c r="P18" s="23">
        <f t="shared" si="3"/>
        <v>1.2820512820512822</v>
      </c>
      <c r="Q18" s="13">
        <v>18</v>
      </c>
      <c r="R18" s="21">
        <f t="shared" si="4"/>
        <v>18.75</v>
      </c>
      <c r="S18" s="13">
        <v>5</v>
      </c>
      <c r="T18" s="23">
        <f t="shared" si="5"/>
        <v>6.410256410256411</v>
      </c>
      <c r="U18" s="11">
        <v>50</v>
      </c>
      <c r="V18" s="21">
        <f t="shared" si="6"/>
        <v>52.083333333333336</v>
      </c>
      <c r="W18" s="11">
        <v>48</v>
      </c>
      <c r="X18" s="23">
        <f t="shared" si="7"/>
        <v>61.53846153846154</v>
      </c>
      <c r="Y18" s="13">
        <v>16</v>
      </c>
      <c r="Z18" s="21">
        <f t="shared" si="8"/>
        <v>16.666666666666668</v>
      </c>
      <c r="AA18" s="13">
        <v>14</v>
      </c>
      <c r="AB18" s="38">
        <f t="shared" si="9"/>
        <v>17.94871794871795</v>
      </c>
    </row>
    <row r="19" spans="1:28" ht="12.75">
      <c r="A19" s="15" t="s">
        <v>24</v>
      </c>
      <c r="B19" s="11">
        <v>106</v>
      </c>
      <c r="C19" s="11">
        <v>83</v>
      </c>
      <c r="D19" s="13">
        <v>59</v>
      </c>
      <c r="E19" s="13">
        <v>52</v>
      </c>
      <c r="F19" s="42">
        <v>2</v>
      </c>
      <c r="G19" s="13">
        <v>57</v>
      </c>
      <c r="H19" s="101">
        <v>50</v>
      </c>
      <c r="I19" s="78">
        <v>11</v>
      </c>
      <c r="J19" s="62">
        <f t="shared" si="0"/>
        <v>19.29824561403509</v>
      </c>
      <c r="K19" s="61">
        <v>7</v>
      </c>
      <c r="L19" s="64">
        <f t="shared" si="1"/>
        <v>14</v>
      </c>
      <c r="M19" s="13">
        <v>0</v>
      </c>
      <c r="N19" s="21">
        <f t="shared" si="2"/>
      </c>
      <c r="O19" s="13">
        <v>0</v>
      </c>
      <c r="P19" s="23">
        <f t="shared" si="3"/>
      </c>
      <c r="Q19" s="13">
        <v>6</v>
      </c>
      <c r="R19" s="21">
        <f t="shared" si="4"/>
        <v>10.526315789473685</v>
      </c>
      <c r="S19" s="13">
        <v>2</v>
      </c>
      <c r="T19" s="23">
        <f t="shared" si="5"/>
        <v>4</v>
      </c>
      <c r="U19" s="11">
        <v>37</v>
      </c>
      <c r="V19" s="21">
        <f t="shared" si="6"/>
        <v>64.91228070175438</v>
      </c>
      <c r="W19" s="11">
        <v>36</v>
      </c>
      <c r="X19" s="23">
        <f t="shared" si="7"/>
        <v>72</v>
      </c>
      <c r="Y19" s="13">
        <v>3</v>
      </c>
      <c r="Z19" s="21">
        <f t="shared" si="8"/>
        <v>5.2631578947368425</v>
      </c>
      <c r="AA19" s="13">
        <v>5</v>
      </c>
      <c r="AB19" s="38">
        <f t="shared" si="9"/>
        <v>10</v>
      </c>
    </row>
    <row r="20" spans="1:28" ht="12.75">
      <c r="A20" s="15" t="s">
        <v>25</v>
      </c>
      <c r="B20" s="11">
        <v>106</v>
      </c>
      <c r="C20" s="11">
        <v>92</v>
      </c>
      <c r="D20" s="13">
        <v>65</v>
      </c>
      <c r="E20" s="13">
        <v>57</v>
      </c>
      <c r="F20" s="42">
        <v>5</v>
      </c>
      <c r="G20" s="13">
        <v>60</v>
      </c>
      <c r="H20" s="101">
        <v>52</v>
      </c>
      <c r="I20" s="78">
        <v>4</v>
      </c>
      <c r="J20" s="62">
        <f t="shared" si="0"/>
        <v>6.666666666666667</v>
      </c>
      <c r="K20" s="61">
        <v>2</v>
      </c>
      <c r="L20" s="64">
        <f t="shared" si="1"/>
        <v>3.8461538461538463</v>
      </c>
      <c r="M20" s="13">
        <v>5</v>
      </c>
      <c r="N20" s="21">
        <f t="shared" si="2"/>
        <v>8.333333333333334</v>
      </c>
      <c r="O20" s="13">
        <v>1</v>
      </c>
      <c r="P20" s="23">
        <f t="shared" si="3"/>
        <v>1.9230769230769231</v>
      </c>
      <c r="Q20" s="13">
        <v>3</v>
      </c>
      <c r="R20" s="21">
        <f t="shared" si="4"/>
        <v>5</v>
      </c>
      <c r="S20" s="13">
        <v>12</v>
      </c>
      <c r="T20" s="23">
        <f t="shared" si="5"/>
        <v>23.076923076923077</v>
      </c>
      <c r="U20" s="11">
        <v>41</v>
      </c>
      <c r="V20" s="21">
        <f t="shared" si="6"/>
        <v>68.33333333333333</v>
      </c>
      <c r="W20" s="11">
        <v>31</v>
      </c>
      <c r="X20" s="23">
        <f t="shared" si="7"/>
        <v>59.61538461538461</v>
      </c>
      <c r="Y20" s="13">
        <v>7</v>
      </c>
      <c r="Z20" s="21">
        <f t="shared" si="8"/>
        <v>11.666666666666666</v>
      </c>
      <c r="AA20" s="13">
        <v>6</v>
      </c>
      <c r="AB20" s="38">
        <f t="shared" si="9"/>
        <v>11.538461538461538</v>
      </c>
    </row>
    <row r="21" spans="1:28" ht="12.75">
      <c r="A21" s="15" t="s">
        <v>26</v>
      </c>
      <c r="B21" s="11">
        <v>106</v>
      </c>
      <c r="C21" s="11">
        <v>97</v>
      </c>
      <c r="D21" s="13">
        <v>66</v>
      </c>
      <c r="E21" s="13">
        <v>64</v>
      </c>
      <c r="F21" s="42">
        <v>3</v>
      </c>
      <c r="G21" s="13">
        <v>63</v>
      </c>
      <c r="H21" s="101">
        <v>63</v>
      </c>
      <c r="I21" s="78">
        <v>4</v>
      </c>
      <c r="J21" s="62">
        <f t="shared" si="0"/>
        <v>6.349206349206349</v>
      </c>
      <c r="K21" s="61">
        <v>10</v>
      </c>
      <c r="L21" s="64">
        <f t="shared" si="1"/>
        <v>15.873015873015873</v>
      </c>
      <c r="M21" s="13">
        <v>10</v>
      </c>
      <c r="N21" s="21">
        <f t="shared" si="2"/>
        <v>15.873015873015873</v>
      </c>
      <c r="O21" s="13">
        <v>4</v>
      </c>
      <c r="P21" s="23">
        <f t="shared" si="3"/>
        <v>6.349206349206349</v>
      </c>
      <c r="Q21" s="13">
        <v>8</v>
      </c>
      <c r="R21" s="21">
        <f t="shared" si="4"/>
        <v>12.698412698412698</v>
      </c>
      <c r="S21" s="13">
        <v>7</v>
      </c>
      <c r="T21" s="23">
        <f t="shared" si="5"/>
        <v>11.11111111111111</v>
      </c>
      <c r="U21" s="11">
        <v>39</v>
      </c>
      <c r="V21" s="21">
        <f t="shared" si="6"/>
        <v>61.904761904761905</v>
      </c>
      <c r="W21" s="11">
        <v>40</v>
      </c>
      <c r="X21" s="23">
        <f t="shared" si="7"/>
        <v>63.492063492063494</v>
      </c>
      <c r="Y21" s="13">
        <v>2</v>
      </c>
      <c r="Z21" s="21">
        <f t="shared" si="8"/>
        <v>3.1746031746031744</v>
      </c>
      <c r="AA21" s="13">
        <v>2</v>
      </c>
      <c r="AB21" s="38">
        <f t="shared" si="9"/>
        <v>3.1746031746031744</v>
      </c>
    </row>
    <row r="22" spans="1:28" ht="12.75">
      <c r="A22" s="15" t="s">
        <v>27</v>
      </c>
      <c r="B22" s="11">
        <v>43</v>
      </c>
      <c r="C22" s="11">
        <v>41</v>
      </c>
      <c r="D22" s="13">
        <v>30</v>
      </c>
      <c r="E22" s="13">
        <v>24</v>
      </c>
      <c r="F22" s="42">
        <v>1</v>
      </c>
      <c r="G22" s="13">
        <v>29</v>
      </c>
      <c r="H22" s="101">
        <v>24</v>
      </c>
      <c r="I22" s="78">
        <v>5</v>
      </c>
      <c r="J22" s="62">
        <f t="shared" si="0"/>
        <v>17.24137931034483</v>
      </c>
      <c r="K22" s="61">
        <v>3</v>
      </c>
      <c r="L22" s="64">
        <f t="shared" si="1"/>
        <v>12.5</v>
      </c>
      <c r="M22" s="13">
        <v>0</v>
      </c>
      <c r="N22" s="21">
        <f t="shared" si="2"/>
      </c>
      <c r="O22" s="13">
        <v>1</v>
      </c>
      <c r="P22" s="23">
        <f t="shared" si="3"/>
        <v>4.166666666666667</v>
      </c>
      <c r="Q22" s="13">
        <v>0</v>
      </c>
      <c r="R22" s="21">
        <f t="shared" si="4"/>
      </c>
      <c r="S22" s="13">
        <v>1</v>
      </c>
      <c r="T22" s="23">
        <f t="shared" si="5"/>
        <v>4.166666666666667</v>
      </c>
      <c r="U22" s="11">
        <v>22</v>
      </c>
      <c r="V22" s="21">
        <f t="shared" si="6"/>
        <v>75.86206896551724</v>
      </c>
      <c r="W22" s="11">
        <v>16</v>
      </c>
      <c r="X22" s="23">
        <f t="shared" si="7"/>
        <v>66.66666666666667</v>
      </c>
      <c r="Y22" s="13">
        <v>2</v>
      </c>
      <c r="Z22" s="21">
        <f t="shared" si="8"/>
        <v>6.896551724137931</v>
      </c>
      <c r="AA22" s="13">
        <v>3</v>
      </c>
      <c r="AB22" s="38">
        <f t="shared" si="9"/>
        <v>12.5</v>
      </c>
    </row>
    <row r="23" spans="1:28" ht="12.75">
      <c r="A23" s="15" t="s">
        <v>28</v>
      </c>
      <c r="B23" s="11">
        <v>69</v>
      </c>
      <c r="C23" s="11">
        <v>64</v>
      </c>
      <c r="D23" s="13">
        <v>46</v>
      </c>
      <c r="E23" s="13">
        <v>31</v>
      </c>
      <c r="F23" s="42">
        <v>1</v>
      </c>
      <c r="G23" s="13">
        <v>45</v>
      </c>
      <c r="H23" s="101">
        <v>30</v>
      </c>
      <c r="I23" s="78">
        <v>3</v>
      </c>
      <c r="J23" s="62">
        <f t="shared" si="0"/>
        <v>6.666666666666667</v>
      </c>
      <c r="K23" s="61">
        <v>2</v>
      </c>
      <c r="L23" s="64">
        <f t="shared" si="1"/>
        <v>6.666666666666667</v>
      </c>
      <c r="M23" s="13">
        <v>2</v>
      </c>
      <c r="N23" s="21">
        <f t="shared" si="2"/>
        <v>4.444444444444445</v>
      </c>
      <c r="O23" s="13">
        <v>0</v>
      </c>
      <c r="P23" s="23">
        <f t="shared" si="3"/>
      </c>
      <c r="Q23" s="13">
        <v>8</v>
      </c>
      <c r="R23" s="21">
        <f t="shared" si="4"/>
        <v>17.77777777777778</v>
      </c>
      <c r="S23" s="13">
        <v>2</v>
      </c>
      <c r="T23" s="23">
        <f t="shared" si="5"/>
        <v>6.666666666666667</v>
      </c>
      <c r="U23" s="11">
        <v>27</v>
      </c>
      <c r="V23" s="21">
        <f t="shared" si="6"/>
        <v>60</v>
      </c>
      <c r="W23" s="11">
        <v>21</v>
      </c>
      <c r="X23" s="23">
        <f t="shared" si="7"/>
        <v>70</v>
      </c>
      <c r="Y23" s="13">
        <v>5</v>
      </c>
      <c r="Z23" s="21">
        <f t="shared" si="8"/>
        <v>11.11111111111111</v>
      </c>
      <c r="AA23" s="13">
        <v>5</v>
      </c>
      <c r="AB23" s="38">
        <f t="shared" si="9"/>
        <v>16.666666666666668</v>
      </c>
    </row>
    <row r="24" spans="1:28" ht="12.75">
      <c r="A24" s="15" t="s">
        <v>29</v>
      </c>
      <c r="B24" s="11">
        <v>417</v>
      </c>
      <c r="C24" s="11">
        <v>374</v>
      </c>
      <c r="D24" s="13">
        <v>209</v>
      </c>
      <c r="E24" s="13">
        <v>174</v>
      </c>
      <c r="F24" s="42">
        <v>4</v>
      </c>
      <c r="G24" s="13">
        <v>205</v>
      </c>
      <c r="H24" s="101">
        <v>167</v>
      </c>
      <c r="I24" s="78">
        <v>41</v>
      </c>
      <c r="J24" s="62">
        <f t="shared" si="0"/>
        <v>20</v>
      </c>
      <c r="K24" s="61">
        <v>37</v>
      </c>
      <c r="L24" s="64">
        <f t="shared" si="1"/>
        <v>22.15568862275449</v>
      </c>
      <c r="M24" s="13">
        <v>24</v>
      </c>
      <c r="N24" s="21">
        <f t="shared" si="2"/>
        <v>11.707317073170731</v>
      </c>
      <c r="O24" s="13">
        <v>18</v>
      </c>
      <c r="P24" s="23">
        <f t="shared" si="3"/>
        <v>10.778443113772456</v>
      </c>
      <c r="Q24" s="13">
        <v>33</v>
      </c>
      <c r="R24" s="21">
        <f t="shared" si="4"/>
        <v>16.097560975609756</v>
      </c>
      <c r="S24" s="13">
        <v>28</v>
      </c>
      <c r="T24" s="23">
        <f t="shared" si="5"/>
        <v>16.766467065868262</v>
      </c>
      <c r="U24" s="11">
        <v>93</v>
      </c>
      <c r="V24" s="21">
        <f t="shared" si="6"/>
        <v>45.36585365853659</v>
      </c>
      <c r="W24" s="11">
        <v>77</v>
      </c>
      <c r="X24" s="23">
        <f t="shared" si="7"/>
        <v>46.10778443113772</v>
      </c>
      <c r="Y24" s="13">
        <v>14</v>
      </c>
      <c r="Z24" s="21">
        <f t="shared" si="8"/>
        <v>6.829268292682927</v>
      </c>
      <c r="AA24" s="13">
        <v>7</v>
      </c>
      <c r="AB24" s="38">
        <f t="shared" si="9"/>
        <v>4.191616766467066</v>
      </c>
    </row>
    <row r="25" spans="1:28" ht="12.75">
      <c r="A25" s="15" t="s">
        <v>30</v>
      </c>
      <c r="B25" s="11">
        <v>82</v>
      </c>
      <c r="C25" s="11">
        <v>50</v>
      </c>
      <c r="D25" s="13">
        <v>47</v>
      </c>
      <c r="E25" s="13">
        <v>20</v>
      </c>
      <c r="F25" s="42">
        <v>3</v>
      </c>
      <c r="G25" s="13">
        <v>44</v>
      </c>
      <c r="H25" s="101">
        <v>20</v>
      </c>
      <c r="I25" s="78">
        <v>9</v>
      </c>
      <c r="J25" s="62">
        <f t="shared" si="0"/>
        <v>20.454545454545453</v>
      </c>
      <c r="K25" s="61">
        <v>1</v>
      </c>
      <c r="L25" s="64">
        <f t="shared" si="1"/>
        <v>5</v>
      </c>
      <c r="M25" s="13">
        <v>3</v>
      </c>
      <c r="N25" s="21">
        <f t="shared" si="2"/>
        <v>6.818181818181818</v>
      </c>
      <c r="O25" s="13">
        <v>1</v>
      </c>
      <c r="P25" s="23">
        <f t="shared" si="3"/>
        <v>5</v>
      </c>
      <c r="Q25" s="13">
        <v>6</v>
      </c>
      <c r="R25" s="21">
        <f t="shared" si="4"/>
        <v>13.636363636363637</v>
      </c>
      <c r="S25" s="13">
        <v>2</v>
      </c>
      <c r="T25" s="23">
        <f t="shared" si="5"/>
        <v>10</v>
      </c>
      <c r="U25" s="11">
        <v>21</v>
      </c>
      <c r="V25" s="21">
        <f t="shared" si="6"/>
        <v>47.72727272727273</v>
      </c>
      <c r="W25" s="11">
        <v>13</v>
      </c>
      <c r="X25" s="23">
        <f t="shared" si="7"/>
        <v>65</v>
      </c>
      <c r="Y25" s="13">
        <v>5</v>
      </c>
      <c r="Z25" s="21">
        <f t="shared" si="8"/>
        <v>11.363636363636363</v>
      </c>
      <c r="AA25" s="13">
        <v>3</v>
      </c>
      <c r="AB25" s="38">
        <f t="shared" si="9"/>
        <v>15</v>
      </c>
    </row>
    <row r="26" spans="1:28" ht="12.75">
      <c r="A26" s="15" t="s">
        <v>31</v>
      </c>
      <c r="B26" s="11">
        <v>32</v>
      </c>
      <c r="C26" s="11">
        <v>32</v>
      </c>
      <c r="D26" s="13">
        <v>21</v>
      </c>
      <c r="E26" s="13">
        <v>20</v>
      </c>
      <c r="F26" s="42">
        <v>1</v>
      </c>
      <c r="G26" s="13">
        <v>20</v>
      </c>
      <c r="H26" s="101">
        <v>19</v>
      </c>
      <c r="I26" s="78">
        <v>2</v>
      </c>
      <c r="J26" s="62">
        <f t="shared" si="0"/>
        <v>10</v>
      </c>
      <c r="K26" s="61">
        <v>1</v>
      </c>
      <c r="L26" s="64">
        <f t="shared" si="1"/>
        <v>5.2631578947368425</v>
      </c>
      <c r="M26" s="13">
        <v>0</v>
      </c>
      <c r="N26" s="21">
        <f t="shared" si="2"/>
      </c>
      <c r="O26" s="13">
        <v>1</v>
      </c>
      <c r="P26" s="23">
        <f t="shared" si="3"/>
        <v>5.2631578947368425</v>
      </c>
      <c r="Q26" s="13">
        <v>1</v>
      </c>
      <c r="R26" s="21">
        <f t="shared" si="4"/>
        <v>5</v>
      </c>
      <c r="S26" s="13">
        <v>1</v>
      </c>
      <c r="T26" s="23">
        <f t="shared" si="5"/>
        <v>5.2631578947368425</v>
      </c>
      <c r="U26" s="11">
        <v>14</v>
      </c>
      <c r="V26" s="21">
        <f t="shared" si="6"/>
        <v>70</v>
      </c>
      <c r="W26" s="11">
        <v>13</v>
      </c>
      <c r="X26" s="23">
        <f t="shared" si="7"/>
        <v>68.42105263157895</v>
      </c>
      <c r="Y26" s="13">
        <v>3</v>
      </c>
      <c r="Z26" s="21">
        <f t="shared" si="8"/>
        <v>15</v>
      </c>
      <c r="AA26" s="13">
        <v>3</v>
      </c>
      <c r="AB26" s="38">
        <f t="shared" si="9"/>
        <v>15.789473684210526</v>
      </c>
    </row>
    <row r="27" spans="1:28" ht="12.75">
      <c r="A27" s="15" t="s">
        <v>32</v>
      </c>
      <c r="B27" s="11">
        <v>127</v>
      </c>
      <c r="C27" s="11">
        <v>124</v>
      </c>
      <c r="D27" s="13">
        <v>78</v>
      </c>
      <c r="E27" s="13">
        <v>84</v>
      </c>
      <c r="F27" s="42">
        <v>5</v>
      </c>
      <c r="G27" s="13">
        <v>73</v>
      </c>
      <c r="H27" s="101">
        <v>83</v>
      </c>
      <c r="I27" s="78">
        <v>18</v>
      </c>
      <c r="J27" s="62">
        <f t="shared" si="0"/>
        <v>24.65753424657534</v>
      </c>
      <c r="K27" s="61">
        <v>21</v>
      </c>
      <c r="L27" s="64">
        <f t="shared" si="1"/>
        <v>25.301204819277107</v>
      </c>
      <c r="M27" s="13">
        <v>3</v>
      </c>
      <c r="N27" s="21">
        <f t="shared" si="2"/>
        <v>4.109589041095891</v>
      </c>
      <c r="O27" s="13">
        <v>5</v>
      </c>
      <c r="P27" s="23">
        <f t="shared" si="3"/>
        <v>6.024096385542169</v>
      </c>
      <c r="Q27" s="13">
        <v>5</v>
      </c>
      <c r="R27" s="21">
        <f t="shared" si="4"/>
        <v>6.8493150684931505</v>
      </c>
      <c r="S27" s="13">
        <v>4</v>
      </c>
      <c r="T27" s="23">
        <f t="shared" si="5"/>
        <v>4.819277108433735</v>
      </c>
      <c r="U27" s="11">
        <v>43</v>
      </c>
      <c r="V27" s="21">
        <f t="shared" si="6"/>
        <v>58.9041095890411</v>
      </c>
      <c r="W27" s="11">
        <v>48</v>
      </c>
      <c r="X27" s="23">
        <f t="shared" si="7"/>
        <v>57.83132530120482</v>
      </c>
      <c r="Y27" s="13">
        <v>4</v>
      </c>
      <c r="Z27" s="21">
        <f t="shared" si="8"/>
        <v>5.47945205479452</v>
      </c>
      <c r="AA27" s="13">
        <v>5</v>
      </c>
      <c r="AB27" s="38">
        <f t="shared" si="9"/>
        <v>6.024096385542169</v>
      </c>
    </row>
    <row r="28" spans="1:28" ht="12.75">
      <c r="A28" s="15" t="s">
        <v>59</v>
      </c>
      <c r="B28" s="11">
        <v>27</v>
      </c>
      <c r="C28" s="11">
        <v>23</v>
      </c>
      <c r="D28" s="13">
        <v>16</v>
      </c>
      <c r="E28" s="13">
        <v>16</v>
      </c>
      <c r="F28" s="42">
        <v>0</v>
      </c>
      <c r="G28" s="13">
        <v>16</v>
      </c>
      <c r="H28" s="101">
        <v>15</v>
      </c>
      <c r="I28" s="78">
        <v>1</v>
      </c>
      <c r="J28" s="62">
        <f t="shared" si="0"/>
        <v>6.25</v>
      </c>
      <c r="K28" s="61">
        <v>0</v>
      </c>
      <c r="L28" s="64">
        <f t="shared" si="1"/>
      </c>
      <c r="M28" s="13">
        <v>0</v>
      </c>
      <c r="N28" s="21">
        <f t="shared" si="2"/>
      </c>
      <c r="O28" s="13">
        <v>0</v>
      </c>
      <c r="P28" s="23">
        <f t="shared" si="3"/>
      </c>
      <c r="Q28" s="13">
        <v>1</v>
      </c>
      <c r="R28" s="21">
        <f t="shared" si="4"/>
        <v>6.25</v>
      </c>
      <c r="S28" s="13">
        <v>0</v>
      </c>
      <c r="T28" s="23">
        <f t="shared" si="5"/>
      </c>
      <c r="U28" s="11">
        <v>13</v>
      </c>
      <c r="V28" s="21">
        <f t="shared" si="6"/>
        <v>81.25</v>
      </c>
      <c r="W28" s="11">
        <v>13</v>
      </c>
      <c r="X28" s="23">
        <f t="shared" si="7"/>
        <v>86.66666666666667</v>
      </c>
      <c r="Y28" s="13">
        <v>1</v>
      </c>
      <c r="Z28" s="21">
        <f t="shared" si="8"/>
        <v>6.25</v>
      </c>
      <c r="AA28" s="13">
        <v>2</v>
      </c>
      <c r="AB28" s="38">
        <f t="shared" si="9"/>
        <v>13.333333333333334</v>
      </c>
    </row>
    <row r="29" spans="1:28" ht="12.75">
      <c r="A29" s="15" t="s">
        <v>34</v>
      </c>
      <c r="B29" s="11">
        <v>60</v>
      </c>
      <c r="C29" s="11">
        <v>54</v>
      </c>
      <c r="D29" s="13">
        <v>33</v>
      </c>
      <c r="E29" s="13">
        <v>34</v>
      </c>
      <c r="F29" s="42">
        <v>2</v>
      </c>
      <c r="G29" s="13">
        <v>31</v>
      </c>
      <c r="H29" s="101">
        <v>33</v>
      </c>
      <c r="I29" s="78">
        <v>1</v>
      </c>
      <c r="J29" s="62">
        <f t="shared" si="0"/>
        <v>3.225806451612903</v>
      </c>
      <c r="K29" s="61">
        <v>3</v>
      </c>
      <c r="L29" s="64">
        <f t="shared" si="1"/>
        <v>9.090909090909092</v>
      </c>
      <c r="M29" s="13">
        <v>1</v>
      </c>
      <c r="N29" s="21">
        <f t="shared" si="2"/>
        <v>3.225806451612903</v>
      </c>
      <c r="O29" s="13">
        <v>1</v>
      </c>
      <c r="P29" s="23">
        <f t="shared" si="3"/>
        <v>3.0303030303030303</v>
      </c>
      <c r="Q29" s="13">
        <v>1</v>
      </c>
      <c r="R29" s="21">
        <f t="shared" si="4"/>
        <v>3.225806451612903</v>
      </c>
      <c r="S29" s="13">
        <v>0</v>
      </c>
      <c r="T29" s="23">
        <f t="shared" si="5"/>
      </c>
      <c r="U29" s="11">
        <v>16</v>
      </c>
      <c r="V29" s="21">
        <f t="shared" si="6"/>
        <v>51.61290322580645</v>
      </c>
      <c r="W29" s="11">
        <v>15</v>
      </c>
      <c r="X29" s="23">
        <f t="shared" si="7"/>
        <v>45.45454545454545</v>
      </c>
      <c r="Y29" s="13">
        <v>12</v>
      </c>
      <c r="Z29" s="21">
        <f t="shared" si="8"/>
        <v>38.70967741935484</v>
      </c>
      <c r="AA29" s="13">
        <v>14</v>
      </c>
      <c r="AB29" s="38">
        <f t="shared" si="9"/>
        <v>42.42424242424242</v>
      </c>
    </row>
    <row r="30" spans="1:28" ht="12.75">
      <c r="A30" s="15" t="s">
        <v>35</v>
      </c>
      <c r="B30" s="11">
        <v>95</v>
      </c>
      <c r="C30" s="11">
        <v>73</v>
      </c>
      <c r="D30" s="13">
        <v>47</v>
      </c>
      <c r="E30" s="13">
        <v>46</v>
      </c>
      <c r="F30" s="42">
        <v>5</v>
      </c>
      <c r="G30" s="13">
        <v>42</v>
      </c>
      <c r="H30" s="101">
        <v>41</v>
      </c>
      <c r="I30" s="78">
        <v>9</v>
      </c>
      <c r="J30" s="62">
        <f t="shared" si="0"/>
        <v>21.428571428571427</v>
      </c>
      <c r="K30" s="61">
        <v>8</v>
      </c>
      <c r="L30" s="64">
        <f t="shared" si="1"/>
        <v>19.51219512195122</v>
      </c>
      <c r="M30" s="13">
        <v>3</v>
      </c>
      <c r="N30" s="21">
        <f t="shared" si="2"/>
        <v>7.142857142857143</v>
      </c>
      <c r="O30" s="13">
        <v>2</v>
      </c>
      <c r="P30" s="23">
        <f t="shared" si="3"/>
        <v>4.878048780487805</v>
      </c>
      <c r="Q30" s="13">
        <v>1</v>
      </c>
      <c r="R30" s="21">
        <f t="shared" si="4"/>
        <v>2.380952380952381</v>
      </c>
      <c r="S30" s="13">
        <v>2</v>
      </c>
      <c r="T30" s="23">
        <f t="shared" si="5"/>
        <v>4.878048780487805</v>
      </c>
      <c r="U30" s="11">
        <v>26</v>
      </c>
      <c r="V30" s="21">
        <f t="shared" si="6"/>
        <v>61.904761904761905</v>
      </c>
      <c r="W30" s="11">
        <v>28</v>
      </c>
      <c r="X30" s="23">
        <f t="shared" si="7"/>
        <v>68.29268292682927</v>
      </c>
      <c r="Y30" s="13">
        <v>3</v>
      </c>
      <c r="Z30" s="21">
        <f t="shared" si="8"/>
        <v>7.142857142857143</v>
      </c>
      <c r="AA30" s="13">
        <v>1</v>
      </c>
      <c r="AB30" s="38">
        <f t="shared" si="9"/>
        <v>2.4390243902439024</v>
      </c>
    </row>
    <row r="31" spans="1:28" ht="12.75">
      <c r="A31" s="15" t="s">
        <v>36</v>
      </c>
      <c r="B31" s="11">
        <v>136</v>
      </c>
      <c r="C31" s="11">
        <v>134</v>
      </c>
      <c r="D31" s="13">
        <v>92</v>
      </c>
      <c r="E31" s="13">
        <v>83</v>
      </c>
      <c r="F31" s="42">
        <v>6</v>
      </c>
      <c r="G31" s="13">
        <v>86</v>
      </c>
      <c r="H31" s="101">
        <v>76</v>
      </c>
      <c r="I31" s="78">
        <v>27</v>
      </c>
      <c r="J31" s="62">
        <f t="shared" si="0"/>
        <v>31.3953488372093</v>
      </c>
      <c r="K31" s="61">
        <v>24</v>
      </c>
      <c r="L31" s="64">
        <f t="shared" si="1"/>
        <v>31.57894736842105</v>
      </c>
      <c r="M31" s="13">
        <v>1</v>
      </c>
      <c r="N31" s="21">
        <f t="shared" si="2"/>
        <v>1.1627906976744187</v>
      </c>
      <c r="O31" s="13">
        <v>1</v>
      </c>
      <c r="P31" s="23">
        <f t="shared" si="3"/>
        <v>1.3157894736842106</v>
      </c>
      <c r="Q31" s="13">
        <v>7</v>
      </c>
      <c r="R31" s="21">
        <f t="shared" si="4"/>
        <v>8.13953488372093</v>
      </c>
      <c r="S31" s="13">
        <v>10</v>
      </c>
      <c r="T31" s="23">
        <f t="shared" si="5"/>
        <v>13.157894736842104</v>
      </c>
      <c r="U31" s="11">
        <v>44</v>
      </c>
      <c r="V31" s="21">
        <f t="shared" si="6"/>
        <v>51.16279069767442</v>
      </c>
      <c r="W31" s="11">
        <v>40</v>
      </c>
      <c r="X31" s="23">
        <f t="shared" si="7"/>
        <v>52.63157894736842</v>
      </c>
      <c r="Y31" s="13">
        <v>7</v>
      </c>
      <c r="Z31" s="21">
        <f t="shared" si="8"/>
        <v>8.13953488372093</v>
      </c>
      <c r="AA31" s="13">
        <v>1</v>
      </c>
      <c r="AB31" s="38">
        <f t="shared" si="9"/>
        <v>1.3157894736842106</v>
      </c>
    </row>
    <row r="32" spans="1:28" ht="12.75">
      <c r="A32" s="15" t="s">
        <v>37</v>
      </c>
      <c r="B32" s="11">
        <v>134</v>
      </c>
      <c r="C32" s="11">
        <v>98</v>
      </c>
      <c r="D32" s="13">
        <v>58</v>
      </c>
      <c r="E32" s="13">
        <v>55</v>
      </c>
      <c r="F32" s="42">
        <v>0</v>
      </c>
      <c r="G32" s="13">
        <v>58</v>
      </c>
      <c r="H32" s="101">
        <v>52</v>
      </c>
      <c r="I32" s="78">
        <v>10</v>
      </c>
      <c r="J32" s="62">
        <f t="shared" si="0"/>
        <v>17.24137931034483</v>
      </c>
      <c r="K32" s="61">
        <v>8</v>
      </c>
      <c r="L32" s="64">
        <f t="shared" si="1"/>
        <v>15.384615384615385</v>
      </c>
      <c r="M32" s="13">
        <v>4</v>
      </c>
      <c r="N32" s="21">
        <f t="shared" si="2"/>
        <v>6.896551724137931</v>
      </c>
      <c r="O32" s="13">
        <v>2</v>
      </c>
      <c r="P32" s="23">
        <f t="shared" si="3"/>
        <v>3.8461538461538463</v>
      </c>
      <c r="Q32" s="13">
        <v>4</v>
      </c>
      <c r="R32" s="21">
        <f t="shared" si="4"/>
        <v>6.896551724137931</v>
      </c>
      <c r="S32" s="13">
        <v>4</v>
      </c>
      <c r="T32" s="23">
        <f t="shared" si="5"/>
        <v>7.6923076923076925</v>
      </c>
      <c r="U32" s="11">
        <v>36</v>
      </c>
      <c r="V32" s="21">
        <f t="shared" si="6"/>
        <v>62.06896551724138</v>
      </c>
      <c r="W32" s="11">
        <v>34</v>
      </c>
      <c r="X32" s="23">
        <f t="shared" si="7"/>
        <v>65.38461538461539</v>
      </c>
      <c r="Y32" s="13">
        <v>4</v>
      </c>
      <c r="Z32" s="21">
        <f t="shared" si="8"/>
        <v>6.896551724137931</v>
      </c>
      <c r="AA32" s="13">
        <v>4</v>
      </c>
      <c r="AB32" s="38">
        <f t="shared" si="9"/>
        <v>7.6923076923076925</v>
      </c>
    </row>
    <row r="33" spans="1:28" ht="12.75">
      <c r="A33" s="15" t="s">
        <v>56</v>
      </c>
      <c r="B33" s="11"/>
      <c r="C33" s="11"/>
      <c r="D33" s="13"/>
      <c r="E33" s="13"/>
      <c r="F33" s="42"/>
      <c r="G33" s="13"/>
      <c r="H33" s="101"/>
      <c r="I33" s="78"/>
      <c r="J33" s="62">
        <f t="shared" si="0"/>
      </c>
      <c r="K33" s="61"/>
      <c r="L33" s="64">
        <f t="shared" si="1"/>
      </c>
      <c r="M33" s="13"/>
      <c r="N33" s="21">
        <f t="shared" si="2"/>
      </c>
      <c r="O33" s="13"/>
      <c r="P33" s="23">
        <f t="shared" si="3"/>
      </c>
      <c r="Q33" s="13"/>
      <c r="R33" s="21">
        <f t="shared" si="4"/>
      </c>
      <c r="S33" s="13"/>
      <c r="T33" s="23">
        <f t="shared" si="5"/>
      </c>
      <c r="U33" s="11"/>
      <c r="V33" s="21">
        <f t="shared" si="6"/>
      </c>
      <c r="W33" s="11"/>
      <c r="X33" s="23">
        <f t="shared" si="7"/>
      </c>
      <c r="Y33" s="13"/>
      <c r="Z33" s="21">
        <f t="shared" si="8"/>
      </c>
      <c r="AA33" s="13"/>
      <c r="AB33" s="38">
        <f t="shared" si="9"/>
      </c>
    </row>
    <row r="34" spans="1:28" ht="12.75">
      <c r="A34" s="15" t="s">
        <v>60</v>
      </c>
      <c r="B34" s="11"/>
      <c r="C34" s="11"/>
      <c r="D34" s="13"/>
      <c r="E34" s="13"/>
      <c r="F34" s="42"/>
      <c r="G34" s="13"/>
      <c r="H34" s="101"/>
      <c r="I34" s="78"/>
      <c r="J34" s="62">
        <f t="shared" si="0"/>
      </c>
      <c r="K34" s="61"/>
      <c r="L34" s="64">
        <f t="shared" si="1"/>
      </c>
      <c r="M34" s="13"/>
      <c r="N34" s="21">
        <f t="shared" si="2"/>
      </c>
      <c r="O34" s="13"/>
      <c r="P34" s="23">
        <f t="shared" si="3"/>
      </c>
      <c r="Q34" s="13"/>
      <c r="R34" s="21">
        <f t="shared" si="4"/>
      </c>
      <c r="S34" s="13"/>
      <c r="T34" s="23">
        <f t="shared" si="5"/>
      </c>
      <c r="U34" s="11"/>
      <c r="V34" s="21">
        <f t="shared" si="6"/>
      </c>
      <c r="W34" s="11"/>
      <c r="X34" s="23">
        <f t="shared" si="7"/>
      </c>
      <c r="Y34" s="13"/>
      <c r="Z34" s="21">
        <f t="shared" si="8"/>
      </c>
      <c r="AA34" s="13"/>
      <c r="AB34" s="38">
        <f t="shared" si="9"/>
      </c>
    </row>
    <row r="35" spans="1:28" ht="12.75">
      <c r="A35" s="15" t="s">
        <v>62</v>
      </c>
      <c r="B35" s="11">
        <v>8</v>
      </c>
      <c r="C35" s="11">
        <v>5</v>
      </c>
      <c r="D35" s="13">
        <v>4</v>
      </c>
      <c r="E35" s="13">
        <v>4</v>
      </c>
      <c r="F35" s="42">
        <v>0</v>
      </c>
      <c r="G35" s="13">
        <v>4</v>
      </c>
      <c r="H35" s="101">
        <v>4</v>
      </c>
      <c r="I35" s="78">
        <v>0</v>
      </c>
      <c r="J35" s="62">
        <f t="shared" si="0"/>
      </c>
      <c r="K35" s="61">
        <v>0</v>
      </c>
      <c r="L35" s="64">
        <f t="shared" si="1"/>
      </c>
      <c r="M35" s="13">
        <v>0</v>
      </c>
      <c r="N35" s="21">
        <f t="shared" si="2"/>
      </c>
      <c r="O35" s="13">
        <v>0</v>
      </c>
      <c r="P35" s="23">
        <f t="shared" si="3"/>
      </c>
      <c r="Q35" s="13">
        <v>0</v>
      </c>
      <c r="R35" s="21">
        <f t="shared" si="4"/>
      </c>
      <c r="S35" s="13">
        <v>0</v>
      </c>
      <c r="T35" s="23">
        <f t="shared" si="5"/>
      </c>
      <c r="U35" s="11">
        <v>4</v>
      </c>
      <c r="V35" s="21">
        <f t="shared" si="6"/>
        <v>100</v>
      </c>
      <c r="W35" s="11">
        <v>4</v>
      </c>
      <c r="X35" s="23">
        <v>100</v>
      </c>
      <c r="Y35" s="13">
        <v>0</v>
      </c>
      <c r="Z35" s="21">
        <f t="shared" si="8"/>
      </c>
      <c r="AA35" s="13">
        <v>0</v>
      </c>
      <c r="AB35" s="38">
        <f t="shared" si="9"/>
      </c>
    </row>
    <row r="36" spans="1:28" ht="12.75">
      <c r="A36" s="15" t="s">
        <v>71</v>
      </c>
      <c r="B36" s="11">
        <v>14</v>
      </c>
      <c r="C36" s="11"/>
      <c r="D36" s="13">
        <v>10</v>
      </c>
      <c r="E36" s="13"/>
      <c r="F36" s="42">
        <v>1</v>
      </c>
      <c r="G36" s="13">
        <v>9</v>
      </c>
      <c r="H36" s="101"/>
      <c r="I36" s="78">
        <v>0</v>
      </c>
      <c r="J36" s="62">
        <f t="shared" si="0"/>
      </c>
      <c r="K36" s="61"/>
      <c r="L36" s="64">
        <f t="shared" si="1"/>
      </c>
      <c r="M36" s="13">
        <v>0</v>
      </c>
      <c r="N36" s="21">
        <f t="shared" si="2"/>
      </c>
      <c r="O36" s="13"/>
      <c r="P36" s="23">
        <f t="shared" si="3"/>
      </c>
      <c r="Q36" s="13">
        <v>0</v>
      </c>
      <c r="R36" s="21">
        <f t="shared" si="4"/>
      </c>
      <c r="S36" s="13"/>
      <c r="T36" s="23">
        <f t="shared" si="5"/>
      </c>
      <c r="U36" s="11">
        <v>9</v>
      </c>
      <c r="V36" s="21">
        <f t="shared" si="6"/>
        <v>100</v>
      </c>
      <c r="W36" s="11"/>
      <c r="X36" s="23">
        <f t="shared" si="7"/>
      </c>
      <c r="Y36" s="13">
        <v>0</v>
      </c>
      <c r="Z36" s="21">
        <f t="shared" si="8"/>
      </c>
      <c r="AA36" s="13"/>
      <c r="AB36" s="38">
        <f t="shared" si="9"/>
      </c>
    </row>
    <row r="37" spans="1:28" ht="12.75">
      <c r="A37" s="15" t="s">
        <v>38</v>
      </c>
      <c r="B37" s="11"/>
      <c r="C37" s="11">
        <v>15</v>
      </c>
      <c r="D37" s="13"/>
      <c r="E37" s="13">
        <v>8</v>
      </c>
      <c r="F37" s="42"/>
      <c r="G37" s="13"/>
      <c r="H37" s="101">
        <v>8</v>
      </c>
      <c r="I37" s="78"/>
      <c r="J37" s="62">
        <f t="shared" si="0"/>
      </c>
      <c r="K37" s="61">
        <v>0</v>
      </c>
      <c r="L37" s="64">
        <f t="shared" si="1"/>
      </c>
      <c r="M37" s="13"/>
      <c r="N37" s="21">
        <f t="shared" si="2"/>
      </c>
      <c r="O37" s="13">
        <v>0</v>
      </c>
      <c r="P37" s="23">
        <f t="shared" si="3"/>
      </c>
      <c r="Q37" s="13"/>
      <c r="R37" s="21">
        <f t="shared" si="4"/>
      </c>
      <c r="S37" s="13">
        <v>1</v>
      </c>
      <c r="T37" s="23">
        <f t="shared" si="5"/>
        <v>12.5</v>
      </c>
      <c r="U37" s="11"/>
      <c r="V37" s="21">
        <f t="shared" si="6"/>
      </c>
      <c r="W37" s="11">
        <v>6</v>
      </c>
      <c r="X37" s="23">
        <f t="shared" si="7"/>
        <v>75</v>
      </c>
      <c r="Y37" s="13"/>
      <c r="Z37" s="21">
        <f t="shared" si="8"/>
      </c>
      <c r="AA37" s="13">
        <v>1</v>
      </c>
      <c r="AB37" s="38">
        <f t="shared" si="9"/>
        <v>12.5</v>
      </c>
    </row>
    <row r="38" spans="1:28" ht="12.75">
      <c r="A38" s="15" t="s">
        <v>65</v>
      </c>
      <c r="B38" s="11"/>
      <c r="C38" s="11"/>
      <c r="D38" s="13"/>
      <c r="E38" s="13"/>
      <c r="F38" s="42"/>
      <c r="G38" s="13"/>
      <c r="H38" s="101"/>
      <c r="I38" s="80"/>
      <c r="J38" s="67"/>
      <c r="K38" s="66"/>
      <c r="L38" s="68"/>
      <c r="M38" s="26"/>
      <c r="N38" s="29"/>
      <c r="O38" s="26"/>
      <c r="P38" s="35"/>
      <c r="Q38" s="26"/>
      <c r="R38" s="29"/>
      <c r="S38" s="26"/>
      <c r="T38" s="35"/>
      <c r="U38" s="25"/>
      <c r="V38" s="29"/>
      <c r="W38" s="25"/>
      <c r="X38" s="35"/>
      <c r="Y38" s="26"/>
      <c r="Z38" s="29"/>
      <c r="AA38" s="26"/>
      <c r="AB38" s="39"/>
    </row>
    <row r="39" spans="1:28" ht="13.5" thickBot="1">
      <c r="A39" s="16"/>
      <c r="B39" s="11"/>
      <c r="C39" s="11"/>
      <c r="D39" s="13"/>
      <c r="E39" s="13"/>
      <c r="F39" s="42"/>
      <c r="G39" s="13"/>
      <c r="H39" s="101"/>
      <c r="I39" s="80"/>
      <c r="J39" s="67">
        <f t="shared" si="0"/>
      </c>
      <c r="K39" s="66"/>
      <c r="L39" s="68">
        <f t="shared" si="1"/>
      </c>
      <c r="M39" s="26"/>
      <c r="N39" s="29">
        <f t="shared" si="2"/>
      </c>
      <c r="O39" s="26"/>
      <c r="P39" s="35">
        <f t="shared" si="3"/>
      </c>
      <c r="Q39" s="26"/>
      <c r="R39" s="29">
        <f t="shared" si="4"/>
      </c>
      <c r="S39" s="26"/>
      <c r="T39" s="35">
        <f t="shared" si="5"/>
      </c>
      <c r="U39" s="25"/>
      <c r="V39" s="29">
        <f t="shared" si="6"/>
      </c>
      <c r="W39" s="25"/>
      <c r="X39" s="35">
        <f t="shared" si="7"/>
      </c>
      <c r="Y39" s="26"/>
      <c r="Z39" s="29">
        <f t="shared" si="8"/>
      </c>
      <c r="AA39" s="26"/>
      <c r="AB39" s="39">
        <f t="shared" si="9"/>
      </c>
    </row>
    <row r="40" spans="1:28" ht="13.5" thickBot="1">
      <c r="A40" s="3" t="s">
        <v>39</v>
      </c>
      <c r="B40" s="18">
        <f>SUM(B6:B38)</f>
        <v>2593</v>
      </c>
      <c r="C40" s="18">
        <f>SUM(C6:C38)</f>
        <v>2235</v>
      </c>
      <c r="D40" s="33">
        <f aca="true" t="shared" si="10" ref="D40:I40">SUM(D6:D37)</f>
        <v>1446</v>
      </c>
      <c r="E40" s="33">
        <f t="shared" si="10"/>
        <v>1277</v>
      </c>
      <c r="F40" s="43">
        <f t="shared" si="10"/>
        <v>62</v>
      </c>
      <c r="G40" s="33">
        <f t="shared" si="10"/>
        <v>1384</v>
      </c>
      <c r="H40" s="102">
        <f t="shared" si="10"/>
        <v>1212</v>
      </c>
      <c r="I40" s="69">
        <f t="shared" si="10"/>
        <v>230</v>
      </c>
      <c r="J40" s="70">
        <f t="shared" si="0"/>
        <v>16.61849710982659</v>
      </c>
      <c r="K40" s="69">
        <f>SUM(K6:K37)</f>
        <v>210</v>
      </c>
      <c r="L40" s="72">
        <f t="shared" si="1"/>
        <v>17.326732673267326</v>
      </c>
      <c r="M40" s="33">
        <f>SUM(M6:M37)</f>
        <v>74</v>
      </c>
      <c r="N40" s="22">
        <f t="shared" si="2"/>
        <v>5.3468208092485545</v>
      </c>
      <c r="O40" s="33">
        <f>SUM(O6:O37)</f>
        <v>64</v>
      </c>
      <c r="P40" s="36">
        <f t="shared" si="3"/>
        <v>5.2805280528052805</v>
      </c>
      <c r="Q40" s="33">
        <f>SUM(Q6:Q37)</f>
        <v>147</v>
      </c>
      <c r="R40" s="22">
        <f t="shared" si="4"/>
        <v>10.621387283236995</v>
      </c>
      <c r="S40" s="33">
        <f>SUM(S6:S37)</f>
        <v>123</v>
      </c>
      <c r="T40" s="36">
        <f t="shared" si="5"/>
        <v>10.148514851485148</v>
      </c>
      <c r="U40" s="33">
        <f>SUM(U6:U38)</f>
        <v>807</v>
      </c>
      <c r="V40" s="22">
        <f t="shared" si="6"/>
        <v>58.309248554913296</v>
      </c>
      <c r="W40" s="33">
        <f>SUM(W6:W38)</f>
        <v>690</v>
      </c>
      <c r="X40" s="36">
        <f t="shared" si="7"/>
        <v>56.93069306930693</v>
      </c>
      <c r="Y40" s="33">
        <f>SUM(Y6:Y37)</f>
        <v>126</v>
      </c>
      <c r="Z40" s="22">
        <f t="shared" si="8"/>
        <v>9.104046242774567</v>
      </c>
      <c r="AA40" s="33">
        <f>SUM(AA6:AA37)</f>
        <v>125</v>
      </c>
      <c r="AB40" s="37">
        <f t="shared" si="9"/>
        <v>10.313531353135314</v>
      </c>
    </row>
  </sheetData>
  <mergeCells count="3">
    <mergeCell ref="B4:C4"/>
    <mergeCell ref="D4:E4"/>
    <mergeCell ref="G4:H4"/>
  </mergeCells>
  <printOptions/>
  <pageMargins left="0.75" right="0.75" top="1" bottom="1" header="0.4921259845" footer="0.4921259845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B40"/>
  <sheetViews>
    <sheetView workbookViewId="0" topLeftCell="A7">
      <selection activeCell="A35" sqref="A35"/>
    </sheetView>
  </sheetViews>
  <sheetFormatPr defaultColWidth="11.421875" defaultRowHeight="12.75"/>
  <cols>
    <col min="1" max="1" width="10.7109375" style="0" customWidth="1"/>
    <col min="2" max="5" width="4.421875" style="0" bestFit="1" customWidth="1"/>
    <col min="6" max="6" width="4.8515625" style="0" bestFit="1" customWidth="1"/>
    <col min="7" max="9" width="4.421875" style="0" bestFit="1" customWidth="1"/>
    <col min="10" max="10" width="7.28125" style="0" bestFit="1" customWidth="1"/>
    <col min="11" max="11" width="4.421875" style="0" bestFit="1" customWidth="1"/>
    <col min="12" max="12" width="7.28125" style="0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7.28125" style="0" bestFit="1" customWidth="1"/>
    <col min="19" max="19" width="4.421875" style="0" bestFit="1" customWidth="1"/>
    <col min="20" max="20" width="7.28125" style="0" bestFit="1" customWidth="1"/>
    <col min="21" max="21" width="4.421875" style="0" bestFit="1" customWidth="1"/>
    <col min="22" max="22" width="8.140625" style="0" bestFit="1" customWidth="1"/>
    <col min="23" max="23" width="4.421875" style="0" bestFit="1" customWidth="1"/>
    <col min="24" max="24" width="7.28125" style="0" bestFit="1" customWidth="1"/>
    <col min="25" max="25" width="4.421875" style="0" bestFit="1" customWidth="1"/>
    <col min="26" max="26" width="7.7109375" style="0" customWidth="1"/>
    <col min="27" max="27" width="4.421875" style="0" bestFit="1" customWidth="1"/>
    <col min="28" max="28" width="7.28125" style="0" bestFit="1" customWidth="1"/>
  </cols>
  <sheetData>
    <row r="1" spans="1:28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6"/>
      <c r="I4" s="57" t="s">
        <v>1</v>
      </c>
      <c r="J4" s="57"/>
      <c r="K4" s="57"/>
      <c r="L4" s="57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4"/>
      <c r="Y4" s="4" t="s">
        <v>4</v>
      </c>
      <c r="Z4" s="4"/>
      <c r="AA4" s="4"/>
      <c r="AB4" s="4"/>
    </row>
    <row r="5" spans="1:28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20">
        <v>2005</v>
      </c>
      <c r="I5" s="82">
        <v>2008</v>
      </c>
      <c r="J5" s="59" t="s">
        <v>9</v>
      </c>
      <c r="K5" s="59">
        <v>2005</v>
      </c>
      <c r="L5" s="60" t="s">
        <v>9</v>
      </c>
      <c r="M5" s="6">
        <v>2008</v>
      </c>
      <c r="N5" s="8" t="s">
        <v>9</v>
      </c>
      <c r="O5" s="8">
        <v>2005</v>
      </c>
      <c r="P5" s="9" t="s">
        <v>9</v>
      </c>
      <c r="Q5" s="6">
        <v>2008</v>
      </c>
      <c r="R5" s="8" t="s">
        <v>9</v>
      </c>
      <c r="S5" s="8">
        <v>2005</v>
      </c>
      <c r="T5" s="9" t="s">
        <v>9</v>
      </c>
      <c r="U5" s="6">
        <v>2008</v>
      </c>
      <c r="V5" s="8" t="s">
        <v>9</v>
      </c>
      <c r="W5" s="8">
        <v>2005</v>
      </c>
      <c r="X5" s="9" t="s">
        <v>9</v>
      </c>
      <c r="Y5" s="6">
        <v>2008</v>
      </c>
      <c r="Z5" s="8" t="s">
        <v>9</v>
      </c>
      <c r="AA5" s="8">
        <v>2005</v>
      </c>
      <c r="AB5" s="30" t="s">
        <v>9</v>
      </c>
    </row>
    <row r="6" spans="1:28" ht="12.75">
      <c r="A6" s="10" t="s">
        <v>10</v>
      </c>
      <c r="B6" s="11">
        <v>298</v>
      </c>
      <c r="C6" s="11">
        <v>267</v>
      </c>
      <c r="D6" s="13">
        <v>169</v>
      </c>
      <c r="E6" s="13">
        <v>160</v>
      </c>
      <c r="F6" s="42">
        <v>6</v>
      </c>
      <c r="G6" s="13">
        <v>163</v>
      </c>
      <c r="H6" s="101">
        <v>157</v>
      </c>
      <c r="I6" s="78">
        <v>30</v>
      </c>
      <c r="J6" s="62">
        <f>IF(I6&gt;0,(I6*100)/G6,"")</f>
        <v>18.404907975460123</v>
      </c>
      <c r="K6" s="61">
        <v>41</v>
      </c>
      <c r="L6" s="64">
        <f>IF(K6&gt;0,(K6*100)/H6,"")</f>
        <v>26.11464968152866</v>
      </c>
      <c r="M6" s="13">
        <v>9</v>
      </c>
      <c r="N6" s="21">
        <f>IF(M6&gt;0,(M6*100)/G6,"")</f>
        <v>5.521472392638037</v>
      </c>
      <c r="O6" s="13">
        <v>11</v>
      </c>
      <c r="P6" s="23">
        <f>IF(O6&gt;0,(O6*100)/H6,"")</f>
        <v>7.006369426751593</v>
      </c>
      <c r="Q6" s="13">
        <v>17</v>
      </c>
      <c r="R6" s="21">
        <f>IF(Q6&gt;0,(Q6*100)/G6,"")</f>
        <v>10.429447852760736</v>
      </c>
      <c r="S6" s="13">
        <v>16</v>
      </c>
      <c r="T6" s="23">
        <f>IF(S6&gt;0,(S6*100)/H6,"")</f>
        <v>10.19108280254777</v>
      </c>
      <c r="U6" s="11">
        <v>95</v>
      </c>
      <c r="V6" s="21">
        <f>IF(U6&gt;0,(U6*100)/G6,"")</f>
        <v>58.282208588957054</v>
      </c>
      <c r="W6" s="11">
        <v>70</v>
      </c>
      <c r="X6" s="23">
        <f>IF(W6&gt;0,(W6*100)/H6,"")</f>
        <v>44.5859872611465</v>
      </c>
      <c r="Y6" s="13">
        <v>12</v>
      </c>
      <c r="Z6" s="21">
        <f>IF(Y6&gt;0,(Y6*100)/G6,"")</f>
        <v>7.361963190184049</v>
      </c>
      <c r="AA6" s="13">
        <v>19</v>
      </c>
      <c r="AB6" s="38">
        <f>IF(AA6&gt;0,(AA6*100)/H6,"")</f>
        <v>12.101910828025478</v>
      </c>
    </row>
    <row r="7" spans="1:28" ht="12.75">
      <c r="A7" s="15" t="s">
        <v>11</v>
      </c>
      <c r="B7" s="11">
        <v>90</v>
      </c>
      <c r="C7" s="11">
        <v>93</v>
      </c>
      <c r="D7" s="13">
        <v>44</v>
      </c>
      <c r="E7" s="13">
        <v>49</v>
      </c>
      <c r="F7" s="42">
        <v>2</v>
      </c>
      <c r="G7" s="13">
        <v>42</v>
      </c>
      <c r="H7" s="101">
        <v>45</v>
      </c>
      <c r="I7" s="78">
        <v>1</v>
      </c>
      <c r="J7" s="62">
        <f aca="true" t="shared" si="0" ref="J7:J40">IF(I7&gt;0,(I7*100)/G7,"")</f>
        <v>2.380952380952381</v>
      </c>
      <c r="K7" s="61">
        <v>2</v>
      </c>
      <c r="L7" s="64">
        <f aca="true" t="shared" si="1" ref="L7:L40">IF(K7&gt;0,(K7*100)/H7,"")</f>
        <v>4.444444444444445</v>
      </c>
      <c r="M7" s="13">
        <v>4</v>
      </c>
      <c r="N7" s="21">
        <f aca="true" t="shared" si="2" ref="N7:N40">IF(M7&gt;0,(M7*100)/G7,"")</f>
        <v>9.523809523809524</v>
      </c>
      <c r="O7" s="13">
        <v>1</v>
      </c>
      <c r="P7" s="23">
        <f aca="true" t="shared" si="3" ref="P7:P40">IF(O7&gt;0,(O7*100)/H7,"")</f>
        <v>2.2222222222222223</v>
      </c>
      <c r="Q7" s="13">
        <v>2</v>
      </c>
      <c r="R7" s="21">
        <f aca="true" t="shared" si="4" ref="R7:R40">IF(Q7&gt;0,(Q7*100)/G7,"")</f>
        <v>4.761904761904762</v>
      </c>
      <c r="S7" s="13">
        <v>8</v>
      </c>
      <c r="T7" s="23">
        <f aca="true" t="shared" si="5" ref="T7:T40">IF(S7&gt;0,(S7*100)/H7,"")</f>
        <v>17.77777777777778</v>
      </c>
      <c r="U7" s="11">
        <v>16</v>
      </c>
      <c r="V7" s="21">
        <f aca="true" t="shared" si="6" ref="V7:V40">IF(U7&gt;0,(U7*100)/G7,"")</f>
        <v>38.095238095238095</v>
      </c>
      <c r="W7" s="11">
        <v>19</v>
      </c>
      <c r="X7" s="23">
        <f aca="true" t="shared" si="7" ref="X7:X40">IF(W7&gt;0,(W7*100)/H7,"")</f>
        <v>42.22222222222222</v>
      </c>
      <c r="Y7" s="13">
        <v>19</v>
      </c>
      <c r="Z7" s="21">
        <f aca="true" t="shared" si="8" ref="Z7:Z40">IF(Y7&gt;0,(Y7*100)/G7,"")</f>
        <v>45.23809523809524</v>
      </c>
      <c r="AA7" s="13">
        <v>15</v>
      </c>
      <c r="AB7" s="38">
        <f aca="true" t="shared" si="9" ref="AB7:AB40">IF(AA7&gt;0,(AA7*100)/H7,"")</f>
        <v>33.333333333333336</v>
      </c>
    </row>
    <row r="8" spans="1:28" ht="12.75">
      <c r="A8" s="15" t="s">
        <v>13</v>
      </c>
      <c r="B8" s="11">
        <v>92</v>
      </c>
      <c r="C8" s="11">
        <v>71</v>
      </c>
      <c r="D8" s="13">
        <v>53</v>
      </c>
      <c r="E8" s="13">
        <v>34</v>
      </c>
      <c r="F8" s="42">
        <v>2</v>
      </c>
      <c r="G8" s="13">
        <v>51</v>
      </c>
      <c r="H8" s="101">
        <v>31</v>
      </c>
      <c r="I8" s="78">
        <v>12</v>
      </c>
      <c r="J8" s="62">
        <f t="shared" si="0"/>
        <v>23.529411764705884</v>
      </c>
      <c r="K8" s="61">
        <v>8</v>
      </c>
      <c r="L8" s="64">
        <f t="shared" si="1"/>
        <v>25.806451612903224</v>
      </c>
      <c r="M8" s="13">
        <v>0</v>
      </c>
      <c r="N8" s="21">
        <f t="shared" si="2"/>
      </c>
      <c r="O8" s="13">
        <v>3</v>
      </c>
      <c r="P8" s="23">
        <f t="shared" si="3"/>
        <v>9.67741935483871</v>
      </c>
      <c r="Q8" s="13">
        <v>12</v>
      </c>
      <c r="R8" s="21">
        <f t="shared" si="4"/>
        <v>23.529411764705884</v>
      </c>
      <c r="S8" s="13">
        <v>3</v>
      </c>
      <c r="T8" s="23">
        <f t="shared" si="5"/>
        <v>9.67741935483871</v>
      </c>
      <c r="U8" s="11">
        <v>25</v>
      </c>
      <c r="V8" s="21">
        <f t="shared" si="6"/>
        <v>49.01960784313726</v>
      </c>
      <c r="W8" s="11">
        <v>15</v>
      </c>
      <c r="X8" s="23">
        <f t="shared" si="7"/>
        <v>48.38709677419355</v>
      </c>
      <c r="Y8" s="13">
        <v>2</v>
      </c>
      <c r="Z8" s="21">
        <f t="shared" si="8"/>
        <v>3.9215686274509802</v>
      </c>
      <c r="AA8" s="13">
        <v>2</v>
      </c>
      <c r="AB8" s="38">
        <f t="shared" si="9"/>
        <v>6.451612903225806</v>
      </c>
    </row>
    <row r="9" spans="1:28" ht="12.75">
      <c r="A9" s="15" t="s">
        <v>14</v>
      </c>
      <c r="B9" s="11">
        <v>257</v>
      </c>
      <c r="C9" s="11">
        <v>219</v>
      </c>
      <c r="D9" s="13">
        <v>146</v>
      </c>
      <c r="E9" s="13">
        <v>134</v>
      </c>
      <c r="F9" s="42">
        <v>8</v>
      </c>
      <c r="G9" s="13">
        <v>138</v>
      </c>
      <c r="H9" s="101">
        <v>126</v>
      </c>
      <c r="I9" s="78">
        <v>26</v>
      </c>
      <c r="J9" s="62">
        <f t="shared" si="0"/>
        <v>18.840579710144926</v>
      </c>
      <c r="K9" s="61">
        <v>21</v>
      </c>
      <c r="L9" s="64">
        <f t="shared" si="1"/>
        <v>16.666666666666668</v>
      </c>
      <c r="M9" s="13">
        <v>6</v>
      </c>
      <c r="N9" s="21">
        <f t="shared" si="2"/>
        <v>4.3478260869565215</v>
      </c>
      <c r="O9" s="13">
        <v>5</v>
      </c>
      <c r="P9" s="23">
        <f t="shared" si="3"/>
        <v>3.9682539682539684</v>
      </c>
      <c r="Q9" s="13">
        <v>32</v>
      </c>
      <c r="R9" s="21">
        <f t="shared" si="4"/>
        <v>23.18840579710145</v>
      </c>
      <c r="S9" s="13">
        <v>26</v>
      </c>
      <c r="T9" s="23">
        <f t="shared" si="5"/>
        <v>20.634920634920636</v>
      </c>
      <c r="U9" s="11">
        <v>65</v>
      </c>
      <c r="V9" s="21">
        <f t="shared" si="6"/>
        <v>47.10144927536232</v>
      </c>
      <c r="W9" s="11">
        <v>67</v>
      </c>
      <c r="X9" s="23">
        <f t="shared" si="7"/>
        <v>53.17460317460318</v>
      </c>
      <c r="Y9" s="13">
        <v>9</v>
      </c>
      <c r="Z9" s="21">
        <f t="shared" si="8"/>
        <v>6.521739130434782</v>
      </c>
      <c r="AA9" s="13">
        <v>7</v>
      </c>
      <c r="AB9" s="38">
        <f t="shared" si="9"/>
        <v>5.555555555555555</v>
      </c>
    </row>
    <row r="10" spans="1:28" ht="12.75">
      <c r="A10" s="15" t="s">
        <v>15</v>
      </c>
      <c r="B10" s="11">
        <v>86</v>
      </c>
      <c r="C10" s="11">
        <v>66</v>
      </c>
      <c r="D10" s="13">
        <v>48</v>
      </c>
      <c r="E10" s="13">
        <v>37</v>
      </c>
      <c r="F10" s="42">
        <v>4</v>
      </c>
      <c r="G10" s="13">
        <v>44</v>
      </c>
      <c r="H10" s="101">
        <v>35</v>
      </c>
      <c r="I10" s="78">
        <v>5</v>
      </c>
      <c r="J10" s="62">
        <f t="shared" si="0"/>
        <v>11.363636363636363</v>
      </c>
      <c r="K10" s="61">
        <v>4</v>
      </c>
      <c r="L10" s="64">
        <f t="shared" si="1"/>
        <v>11.428571428571429</v>
      </c>
      <c r="M10" s="13">
        <v>5</v>
      </c>
      <c r="N10" s="21">
        <f t="shared" si="2"/>
        <v>11.363636363636363</v>
      </c>
      <c r="O10" s="13">
        <v>2</v>
      </c>
      <c r="P10" s="23">
        <f t="shared" si="3"/>
        <v>5.714285714285714</v>
      </c>
      <c r="Q10" s="13">
        <v>18</v>
      </c>
      <c r="R10" s="21">
        <f t="shared" si="4"/>
        <v>40.90909090909091</v>
      </c>
      <c r="S10" s="13">
        <v>19</v>
      </c>
      <c r="T10" s="23">
        <f t="shared" si="5"/>
        <v>54.285714285714285</v>
      </c>
      <c r="U10" s="11">
        <v>8</v>
      </c>
      <c r="V10" s="21">
        <f t="shared" si="6"/>
        <v>18.181818181818183</v>
      </c>
      <c r="W10" s="11">
        <v>5</v>
      </c>
      <c r="X10" s="23">
        <f t="shared" si="7"/>
        <v>14.285714285714286</v>
      </c>
      <c r="Y10" s="13">
        <v>8</v>
      </c>
      <c r="Z10" s="21">
        <f t="shared" si="8"/>
        <v>18.181818181818183</v>
      </c>
      <c r="AA10" s="13">
        <v>5</v>
      </c>
      <c r="AB10" s="38">
        <f t="shared" si="9"/>
        <v>14.285714285714286</v>
      </c>
    </row>
    <row r="11" spans="1:28" ht="12.75">
      <c r="A11" s="15" t="s">
        <v>16</v>
      </c>
      <c r="B11" s="11">
        <v>130</v>
      </c>
      <c r="C11" s="11">
        <v>111</v>
      </c>
      <c r="D11" s="13">
        <v>87</v>
      </c>
      <c r="E11" s="13">
        <v>61</v>
      </c>
      <c r="F11" s="42">
        <v>5</v>
      </c>
      <c r="G11" s="13">
        <v>82</v>
      </c>
      <c r="H11" s="101">
        <v>58</v>
      </c>
      <c r="I11" s="78">
        <v>3</v>
      </c>
      <c r="J11" s="62">
        <f t="shared" si="0"/>
        <v>3.658536585365854</v>
      </c>
      <c r="K11" s="61">
        <v>4</v>
      </c>
      <c r="L11" s="64">
        <f t="shared" si="1"/>
        <v>6.896551724137931</v>
      </c>
      <c r="M11" s="13">
        <v>6</v>
      </c>
      <c r="N11" s="21">
        <f t="shared" si="2"/>
        <v>7.317073170731708</v>
      </c>
      <c r="O11" s="13">
        <v>1</v>
      </c>
      <c r="P11" s="23">
        <f t="shared" si="3"/>
        <v>1.7241379310344827</v>
      </c>
      <c r="Q11" s="13">
        <v>4</v>
      </c>
      <c r="R11" s="21">
        <f t="shared" si="4"/>
        <v>4.878048780487805</v>
      </c>
      <c r="S11" s="13">
        <v>6</v>
      </c>
      <c r="T11" s="23">
        <f t="shared" si="5"/>
        <v>10.344827586206897</v>
      </c>
      <c r="U11" s="11">
        <v>64</v>
      </c>
      <c r="V11" s="21">
        <f t="shared" si="6"/>
        <v>78.04878048780488</v>
      </c>
      <c r="W11" s="11">
        <v>43</v>
      </c>
      <c r="X11" s="23">
        <f t="shared" si="7"/>
        <v>74.13793103448276</v>
      </c>
      <c r="Y11" s="13">
        <v>5</v>
      </c>
      <c r="Z11" s="21">
        <f t="shared" si="8"/>
        <v>6.097560975609756</v>
      </c>
      <c r="AA11" s="13">
        <v>4</v>
      </c>
      <c r="AB11" s="38">
        <f t="shared" si="9"/>
        <v>6.896551724137931</v>
      </c>
    </row>
    <row r="12" spans="1:28" ht="12.75">
      <c r="A12" s="15" t="s">
        <v>57</v>
      </c>
      <c r="B12" s="11">
        <v>29</v>
      </c>
      <c r="C12" s="11">
        <v>21</v>
      </c>
      <c r="D12" s="13">
        <v>17</v>
      </c>
      <c r="E12" s="13">
        <v>13</v>
      </c>
      <c r="F12" s="42">
        <v>1</v>
      </c>
      <c r="G12" s="13">
        <v>16</v>
      </c>
      <c r="H12" s="101">
        <v>11</v>
      </c>
      <c r="I12" s="78">
        <v>1</v>
      </c>
      <c r="J12" s="62">
        <f t="shared" si="0"/>
        <v>6.25</v>
      </c>
      <c r="K12" s="61">
        <v>1</v>
      </c>
      <c r="L12" s="64">
        <f t="shared" si="1"/>
        <v>9.090909090909092</v>
      </c>
      <c r="M12" s="13">
        <v>3</v>
      </c>
      <c r="N12" s="21">
        <f t="shared" si="2"/>
        <v>18.75</v>
      </c>
      <c r="O12" s="13">
        <v>0</v>
      </c>
      <c r="P12" s="23">
        <f t="shared" si="3"/>
      </c>
      <c r="Q12" s="13">
        <v>0</v>
      </c>
      <c r="R12" s="21">
        <f t="shared" si="4"/>
      </c>
      <c r="S12" s="13">
        <v>2</v>
      </c>
      <c r="T12" s="23">
        <f t="shared" si="5"/>
        <v>18.181818181818183</v>
      </c>
      <c r="U12" s="11">
        <v>9</v>
      </c>
      <c r="V12" s="21">
        <f t="shared" si="6"/>
        <v>56.25</v>
      </c>
      <c r="W12" s="11">
        <v>5</v>
      </c>
      <c r="X12" s="23">
        <f t="shared" si="7"/>
        <v>45.45454545454545</v>
      </c>
      <c r="Y12" s="13">
        <v>3</v>
      </c>
      <c r="Z12" s="21">
        <f t="shared" si="8"/>
        <v>18.75</v>
      </c>
      <c r="AA12" s="13">
        <v>3</v>
      </c>
      <c r="AB12" s="38">
        <f t="shared" si="9"/>
        <v>27.272727272727273</v>
      </c>
    </row>
    <row r="13" spans="1:28" ht="12.75">
      <c r="A13" s="15" t="s">
        <v>18</v>
      </c>
      <c r="B13" s="11">
        <v>298</v>
      </c>
      <c r="C13" s="11">
        <v>256</v>
      </c>
      <c r="D13" s="13">
        <v>138</v>
      </c>
      <c r="E13" s="13">
        <v>139</v>
      </c>
      <c r="F13" s="42">
        <v>6</v>
      </c>
      <c r="G13" s="13">
        <v>132</v>
      </c>
      <c r="H13" s="101">
        <v>135</v>
      </c>
      <c r="I13" s="78">
        <v>30</v>
      </c>
      <c r="J13" s="62">
        <f t="shared" si="0"/>
        <v>22.727272727272727</v>
      </c>
      <c r="K13" s="61">
        <v>23</v>
      </c>
      <c r="L13" s="64">
        <f t="shared" si="1"/>
        <v>17.037037037037038</v>
      </c>
      <c r="M13" s="13">
        <v>8</v>
      </c>
      <c r="N13" s="21">
        <f t="shared" si="2"/>
        <v>6.0606060606060606</v>
      </c>
      <c r="O13" s="13">
        <v>19</v>
      </c>
      <c r="P13" s="23">
        <f t="shared" si="3"/>
        <v>14.074074074074074</v>
      </c>
      <c r="Q13" s="13">
        <v>29</v>
      </c>
      <c r="R13" s="21">
        <f t="shared" si="4"/>
        <v>21.96969696969697</v>
      </c>
      <c r="S13" s="13">
        <v>40</v>
      </c>
      <c r="T13" s="23">
        <f t="shared" si="5"/>
        <v>29.62962962962963</v>
      </c>
      <c r="U13" s="11">
        <v>47</v>
      </c>
      <c r="V13" s="21">
        <f t="shared" si="6"/>
        <v>35.60606060606061</v>
      </c>
      <c r="W13" s="11">
        <v>35</v>
      </c>
      <c r="X13" s="23">
        <f t="shared" si="7"/>
        <v>25.925925925925927</v>
      </c>
      <c r="Y13" s="13">
        <v>18</v>
      </c>
      <c r="Z13" s="21">
        <f t="shared" si="8"/>
        <v>13.636363636363637</v>
      </c>
      <c r="AA13" s="13">
        <v>18</v>
      </c>
      <c r="AB13" s="38">
        <f t="shared" si="9"/>
        <v>13.333333333333334</v>
      </c>
    </row>
    <row r="14" spans="1:28" ht="12.75">
      <c r="A14" s="15" t="s">
        <v>19</v>
      </c>
      <c r="B14" s="11">
        <v>97</v>
      </c>
      <c r="C14" s="11">
        <v>86</v>
      </c>
      <c r="D14" s="13">
        <v>48</v>
      </c>
      <c r="E14" s="13">
        <v>55</v>
      </c>
      <c r="F14" s="42">
        <v>0</v>
      </c>
      <c r="G14" s="13">
        <v>48</v>
      </c>
      <c r="H14" s="101">
        <v>54</v>
      </c>
      <c r="I14" s="78">
        <v>4</v>
      </c>
      <c r="J14" s="62">
        <f t="shared" si="0"/>
        <v>8.333333333333334</v>
      </c>
      <c r="K14" s="61">
        <v>5</v>
      </c>
      <c r="L14" s="64">
        <f t="shared" si="1"/>
        <v>9.25925925925926</v>
      </c>
      <c r="M14" s="13">
        <v>3</v>
      </c>
      <c r="N14" s="21">
        <f t="shared" si="2"/>
        <v>6.25</v>
      </c>
      <c r="O14" s="13">
        <v>7</v>
      </c>
      <c r="P14" s="23">
        <f t="shared" si="3"/>
        <v>12.962962962962964</v>
      </c>
      <c r="Q14" s="13">
        <v>9</v>
      </c>
      <c r="R14" s="21">
        <f t="shared" si="4"/>
        <v>18.75</v>
      </c>
      <c r="S14" s="13">
        <v>15</v>
      </c>
      <c r="T14" s="23">
        <f t="shared" si="5"/>
        <v>27.77777777777778</v>
      </c>
      <c r="U14" s="11">
        <v>17</v>
      </c>
      <c r="V14" s="21">
        <f t="shared" si="6"/>
        <v>35.416666666666664</v>
      </c>
      <c r="W14" s="11">
        <v>17</v>
      </c>
      <c r="X14" s="23">
        <f t="shared" si="7"/>
        <v>31.48148148148148</v>
      </c>
      <c r="Y14" s="13">
        <v>15</v>
      </c>
      <c r="Z14" s="21">
        <f t="shared" si="8"/>
        <v>31.25</v>
      </c>
      <c r="AA14" s="13">
        <v>10</v>
      </c>
      <c r="AB14" s="38">
        <f t="shared" si="9"/>
        <v>18.51851851851852</v>
      </c>
    </row>
    <row r="15" spans="1:28" ht="12.75">
      <c r="A15" s="15" t="s">
        <v>20</v>
      </c>
      <c r="B15" s="11">
        <v>286</v>
      </c>
      <c r="C15" s="11">
        <v>273</v>
      </c>
      <c r="D15" s="13">
        <v>184</v>
      </c>
      <c r="E15" s="13">
        <v>154</v>
      </c>
      <c r="F15" s="42">
        <v>6</v>
      </c>
      <c r="G15" s="13">
        <v>178</v>
      </c>
      <c r="H15" s="101">
        <v>145</v>
      </c>
      <c r="I15" s="78">
        <v>34</v>
      </c>
      <c r="J15" s="62">
        <f t="shared" si="0"/>
        <v>19.10112359550562</v>
      </c>
      <c r="K15" s="61">
        <v>31</v>
      </c>
      <c r="L15" s="64">
        <f t="shared" si="1"/>
        <v>21.379310344827587</v>
      </c>
      <c r="M15" s="13">
        <v>7</v>
      </c>
      <c r="N15" s="21">
        <f t="shared" si="2"/>
        <v>3.932584269662921</v>
      </c>
      <c r="O15" s="13">
        <v>9</v>
      </c>
      <c r="P15" s="23">
        <f t="shared" si="3"/>
        <v>6.206896551724138</v>
      </c>
      <c r="Q15" s="13">
        <v>41</v>
      </c>
      <c r="R15" s="21">
        <f t="shared" si="4"/>
        <v>23.03370786516854</v>
      </c>
      <c r="S15" s="13">
        <v>31</v>
      </c>
      <c r="T15" s="23">
        <f t="shared" si="5"/>
        <v>21.379310344827587</v>
      </c>
      <c r="U15" s="11">
        <v>90</v>
      </c>
      <c r="V15" s="21">
        <f t="shared" si="6"/>
        <v>50.561797752808985</v>
      </c>
      <c r="W15" s="11">
        <v>62</v>
      </c>
      <c r="X15" s="23">
        <f t="shared" si="7"/>
        <v>42.758620689655174</v>
      </c>
      <c r="Y15" s="13">
        <v>6</v>
      </c>
      <c r="Z15" s="21">
        <f t="shared" si="8"/>
        <v>3.3707865168539324</v>
      </c>
      <c r="AA15" s="13">
        <v>12</v>
      </c>
      <c r="AB15" s="38">
        <f t="shared" si="9"/>
        <v>8.275862068965518</v>
      </c>
    </row>
    <row r="16" spans="1:28" ht="12.75">
      <c r="A16" s="15" t="s">
        <v>21</v>
      </c>
      <c r="B16" s="11">
        <v>415</v>
      </c>
      <c r="C16" s="11">
        <v>367</v>
      </c>
      <c r="D16" s="13">
        <v>193</v>
      </c>
      <c r="E16" s="13">
        <v>171</v>
      </c>
      <c r="F16" s="42">
        <v>9</v>
      </c>
      <c r="G16" s="13">
        <v>184</v>
      </c>
      <c r="H16" s="101">
        <v>166</v>
      </c>
      <c r="I16" s="78">
        <v>17</v>
      </c>
      <c r="J16" s="62">
        <f t="shared" si="0"/>
        <v>9.23913043478261</v>
      </c>
      <c r="K16" s="61">
        <v>25</v>
      </c>
      <c r="L16" s="64">
        <f t="shared" si="1"/>
        <v>15.060240963855422</v>
      </c>
      <c r="M16" s="13">
        <v>4</v>
      </c>
      <c r="N16" s="21">
        <f t="shared" si="2"/>
        <v>2.1739130434782608</v>
      </c>
      <c r="O16" s="13">
        <v>6</v>
      </c>
      <c r="P16" s="23">
        <f t="shared" si="3"/>
        <v>3.6144578313253013</v>
      </c>
      <c r="Q16" s="13">
        <v>38</v>
      </c>
      <c r="R16" s="21">
        <f t="shared" si="4"/>
        <v>20.652173913043477</v>
      </c>
      <c r="S16" s="13">
        <v>36</v>
      </c>
      <c r="T16" s="23">
        <f t="shared" si="5"/>
        <v>21.686746987951807</v>
      </c>
      <c r="U16" s="11">
        <v>114</v>
      </c>
      <c r="V16" s="21">
        <f t="shared" si="6"/>
        <v>61.95652173913044</v>
      </c>
      <c r="W16" s="11">
        <v>84</v>
      </c>
      <c r="X16" s="23">
        <f t="shared" si="7"/>
        <v>50.602409638554214</v>
      </c>
      <c r="Y16" s="13">
        <v>11</v>
      </c>
      <c r="Z16" s="21">
        <f t="shared" si="8"/>
        <v>5.978260869565218</v>
      </c>
      <c r="AA16" s="13">
        <v>15</v>
      </c>
      <c r="AB16" s="38">
        <f t="shared" si="9"/>
        <v>9.036144578313253</v>
      </c>
    </row>
    <row r="17" spans="1:28" ht="12.75">
      <c r="A17" s="15" t="s">
        <v>22</v>
      </c>
      <c r="B17" s="11">
        <v>61</v>
      </c>
      <c r="C17" s="11">
        <v>55</v>
      </c>
      <c r="D17" s="13">
        <v>42</v>
      </c>
      <c r="E17" s="13">
        <v>28</v>
      </c>
      <c r="F17" s="42">
        <v>1</v>
      </c>
      <c r="G17" s="13">
        <v>41</v>
      </c>
      <c r="H17" s="101">
        <v>27</v>
      </c>
      <c r="I17" s="78">
        <v>4</v>
      </c>
      <c r="J17" s="62">
        <f t="shared" si="0"/>
        <v>9.75609756097561</v>
      </c>
      <c r="K17" s="61">
        <v>2</v>
      </c>
      <c r="L17" s="64">
        <f t="shared" si="1"/>
        <v>7.407407407407407</v>
      </c>
      <c r="M17" s="13">
        <v>2</v>
      </c>
      <c r="N17" s="21">
        <f t="shared" si="2"/>
        <v>4.878048780487805</v>
      </c>
      <c r="O17" s="13">
        <v>3</v>
      </c>
      <c r="P17" s="23">
        <f t="shared" si="3"/>
        <v>11.11111111111111</v>
      </c>
      <c r="Q17" s="13">
        <v>9</v>
      </c>
      <c r="R17" s="21">
        <f t="shared" si="4"/>
        <v>21.951219512195124</v>
      </c>
      <c r="S17" s="13">
        <v>6</v>
      </c>
      <c r="T17" s="23">
        <f t="shared" si="5"/>
        <v>22.22222222222222</v>
      </c>
      <c r="U17" s="11">
        <v>23</v>
      </c>
      <c r="V17" s="21">
        <f t="shared" si="6"/>
        <v>56.09756097560975</v>
      </c>
      <c r="W17" s="11">
        <v>11</v>
      </c>
      <c r="X17" s="23">
        <f t="shared" si="7"/>
        <v>40.74074074074074</v>
      </c>
      <c r="Y17" s="13">
        <v>3</v>
      </c>
      <c r="Z17" s="21">
        <f t="shared" si="8"/>
        <v>7.317073170731708</v>
      </c>
      <c r="AA17" s="13">
        <v>5</v>
      </c>
      <c r="AB17" s="38">
        <f t="shared" si="9"/>
        <v>18.51851851851852</v>
      </c>
    </row>
    <row r="18" spans="1:28" ht="12.75">
      <c r="A18" s="15" t="s">
        <v>23</v>
      </c>
      <c r="B18" s="11">
        <v>412</v>
      </c>
      <c r="C18" s="11">
        <f>(340)</f>
        <v>340</v>
      </c>
      <c r="D18" s="13">
        <v>234</v>
      </c>
      <c r="E18" s="13">
        <f>(194)</f>
        <v>194</v>
      </c>
      <c r="F18" s="42">
        <v>7</v>
      </c>
      <c r="G18" s="13">
        <v>227</v>
      </c>
      <c r="H18" s="101">
        <v>190</v>
      </c>
      <c r="I18" s="78">
        <v>36</v>
      </c>
      <c r="J18" s="62">
        <f t="shared" si="0"/>
        <v>15.859030837004406</v>
      </c>
      <c r="K18" s="61">
        <v>27</v>
      </c>
      <c r="L18" s="64">
        <f t="shared" si="1"/>
        <v>14.210526315789474</v>
      </c>
      <c r="M18" s="13">
        <v>9</v>
      </c>
      <c r="N18" s="21">
        <f t="shared" si="2"/>
        <v>3.9647577092511015</v>
      </c>
      <c r="O18" s="13">
        <v>7</v>
      </c>
      <c r="P18" s="23">
        <f t="shared" si="3"/>
        <v>3.6842105263157894</v>
      </c>
      <c r="Q18" s="13">
        <v>35</v>
      </c>
      <c r="R18" s="21">
        <f t="shared" si="4"/>
        <v>15.418502202643172</v>
      </c>
      <c r="S18" s="13">
        <v>29</v>
      </c>
      <c r="T18" s="23">
        <f t="shared" si="5"/>
        <v>15.263157894736842</v>
      </c>
      <c r="U18" s="11">
        <v>94</v>
      </c>
      <c r="V18" s="21">
        <f t="shared" si="6"/>
        <v>41.409691629955944</v>
      </c>
      <c r="W18" s="11">
        <v>86</v>
      </c>
      <c r="X18" s="23">
        <f t="shared" si="7"/>
        <v>45.26315789473684</v>
      </c>
      <c r="Y18" s="13">
        <v>53</v>
      </c>
      <c r="Z18" s="21">
        <f t="shared" si="8"/>
        <v>23.348017621145374</v>
      </c>
      <c r="AA18" s="13">
        <v>41</v>
      </c>
      <c r="AB18" s="38">
        <f t="shared" si="9"/>
        <v>21.57894736842105</v>
      </c>
    </row>
    <row r="19" spans="1:28" ht="12.75">
      <c r="A19" s="15" t="s">
        <v>24</v>
      </c>
      <c r="B19" s="11">
        <v>243</v>
      </c>
      <c r="C19" s="11">
        <v>199</v>
      </c>
      <c r="D19" s="13">
        <v>145</v>
      </c>
      <c r="E19" s="13">
        <v>123</v>
      </c>
      <c r="F19" s="42">
        <v>12</v>
      </c>
      <c r="G19" s="13">
        <v>133</v>
      </c>
      <c r="H19" s="101">
        <v>105</v>
      </c>
      <c r="I19" s="78">
        <v>12</v>
      </c>
      <c r="J19" s="62">
        <f t="shared" si="0"/>
        <v>9.022556390977444</v>
      </c>
      <c r="K19" s="61">
        <v>9</v>
      </c>
      <c r="L19" s="64">
        <f t="shared" si="1"/>
        <v>8.571428571428571</v>
      </c>
      <c r="M19" s="13">
        <v>5</v>
      </c>
      <c r="N19" s="21">
        <f t="shared" si="2"/>
        <v>3.7593984962406015</v>
      </c>
      <c r="O19" s="13">
        <v>2</v>
      </c>
      <c r="P19" s="23">
        <f t="shared" si="3"/>
        <v>1.9047619047619047</v>
      </c>
      <c r="Q19" s="13">
        <v>11</v>
      </c>
      <c r="R19" s="21">
        <f t="shared" si="4"/>
        <v>8.270676691729323</v>
      </c>
      <c r="S19" s="13">
        <v>11</v>
      </c>
      <c r="T19" s="23">
        <f t="shared" si="5"/>
        <v>10.476190476190476</v>
      </c>
      <c r="U19" s="11">
        <v>98</v>
      </c>
      <c r="V19" s="21">
        <f t="shared" si="6"/>
        <v>73.6842105263158</v>
      </c>
      <c r="W19" s="11">
        <v>76</v>
      </c>
      <c r="X19" s="23">
        <f t="shared" si="7"/>
        <v>72.38095238095238</v>
      </c>
      <c r="Y19" s="13">
        <v>7</v>
      </c>
      <c r="Z19" s="21">
        <f t="shared" si="8"/>
        <v>5.2631578947368425</v>
      </c>
      <c r="AA19" s="13">
        <v>7</v>
      </c>
      <c r="AB19" s="38">
        <f t="shared" si="9"/>
        <v>6.666666666666667</v>
      </c>
    </row>
    <row r="20" spans="1:28" ht="12.75">
      <c r="A20" s="15" t="s">
        <v>25</v>
      </c>
      <c r="B20" s="11">
        <v>252</v>
      </c>
      <c r="C20" s="11">
        <v>205</v>
      </c>
      <c r="D20" s="13">
        <v>147</v>
      </c>
      <c r="E20" s="13">
        <v>117</v>
      </c>
      <c r="F20" s="42">
        <v>23</v>
      </c>
      <c r="G20" s="13">
        <v>124</v>
      </c>
      <c r="H20" s="101">
        <v>109</v>
      </c>
      <c r="I20" s="78">
        <v>8</v>
      </c>
      <c r="J20" s="62">
        <f t="shared" si="0"/>
        <v>6.451612903225806</v>
      </c>
      <c r="K20" s="61">
        <v>18</v>
      </c>
      <c r="L20" s="64">
        <f t="shared" si="1"/>
        <v>16.513761467889907</v>
      </c>
      <c r="M20" s="13">
        <v>4</v>
      </c>
      <c r="N20" s="21">
        <f t="shared" si="2"/>
        <v>3.225806451612903</v>
      </c>
      <c r="O20" s="13">
        <v>5</v>
      </c>
      <c r="P20" s="23">
        <f t="shared" si="3"/>
        <v>4.587155963302752</v>
      </c>
      <c r="Q20" s="13">
        <v>24</v>
      </c>
      <c r="R20" s="21">
        <f t="shared" si="4"/>
        <v>19.35483870967742</v>
      </c>
      <c r="S20" s="13">
        <v>15</v>
      </c>
      <c r="T20" s="23">
        <f t="shared" si="5"/>
        <v>13.761467889908257</v>
      </c>
      <c r="U20" s="11">
        <v>79</v>
      </c>
      <c r="V20" s="21">
        <f t="shared" si="6"/>
        <v>63.70967741935484</v>
      </c>
      <c r="W20" s="11">
        <v>51</v>
      </c>
      <c r="X20" s="23">
        <f t="shared" si="7"/>
        <v>46.788990825688074</v>
      </c>
      <c r="Y20" s="13">
        <v>9</v>
      </c>
      <c r="Z20" s="21">
        <f t="shared" si="8"/>
        <v>7.258064516129032</v>
      </c>
      <c r="AA20" s="13">
        <v>20</v>
      </c>
      <c r="AB20" s="38">
        <f t="shared" si="9"/>
        <v>18.34862385321101</v>
      </c>
    </row>
    <row r="21" spans="1:28" ht="12.75">
      <c r="A21" s="15" t="s">
        <v>26</v>
      </c>
      <c r="B21" s="11">
        <v>169</v>
      </c>
      <c r="C21" s="11">
        <v>145</v>
      </c>
      <c r="D21" s="13">
        <v>107</v>
      </c>
      <c r="E21" s="13">
        <v>103</v>
      </c>
      <c r="F21" s="42">
        <v>1</v>
      </c>
      <c r="G21" s="13">
        <v>106</v>
      </c>
      <c r="H21" s="101">
        <v>101</v>
      </c>
      <c r="I21" s="78">
        <v>7</v>
      </c>
      <c r="J21" s="62">
        <f t="shared" si="0"/>
        <v>6.60377358490566</v>
      </c>
      <c r="K21" s="61">
        <v>7</v>
      </c>
      <c r="L21" s="64">
        <f t="shared" si="1"/>
        <v>6.930693069306931</v>
      </c>
      <c r="M21" s="13">
        <v>7</v>
      </c>
      <c r="N21" s="21">
        <f t="shared" si="2"/>
        <v>6.60377358490566</v>
      </c>
      <c r="O21" s="13">
        <v>12</v>
      </c>
      <c r="P21" s="23">
        <f t="shared" si="3"/>
        <v>11.881188118811881</v>
      </c>
      <c r="Q21" s="13">
        <v>19</v>
      </c>
      <c r="R21" s="21">
        <f t="shared" si="4"/>
        <v>17.92452830188679</v>
      </c>
      <c r="S21" s="13">
        <v>11</v>
      </c>
      <c r="T21" s="23">
        <f t="shared" si="5"/>
        <v>10.891089108910892</v>
      </c>
      <c r="U21" s="11">
        <v>61</v>
      </c>
      <c r="V21" s="21">
        <f t="shared" si="6"/>
        <v>57.54716981132076</v>
      </c>
      <c r="W21" s="11">
        <v>67</v>
      </c>
      <c r="X21" s="23">
        <f t="shared" si="7"/>
        <v>66.33663366336634</v>
      </c>
      <c r="Y21" s="13">
        <v>12</v>
      </c>
      <c r="Z21" s="21">
        <f t="shared" si="8"/>
        <v>11.320754716981131</v>
      </c>
      <c r="AA21" s="13">
        <v>4</v>
      </c>
      <c r="AB21" s="38">
        <f t="shared" si="9"/>
        <v>3.9603960396039604</v>
      </c>
    </row>
    <row r="22" spans="1:28" ht="12.75">
      <c r="A22" s="15" t="s">
        <v>27</v>
      </c>
      <c r="B22" s="11">
        <v>120</v>
      </c>
      <c r="C22" s="11">
        <v>108</v>
      </c>
      <c r="D22" s="13">
        <v>77</v>
      </c>
      <c r="E22" s="13">
        <v>68</v>
      </c>
      <c r="F22" s="42">
        <v>5</v>
      </c>
      <c r="G22" s="13">
        <v>72</v>
      </c>
      <c r="H22" s="101">
        <v>67</v>
      </c>
      <c r="I22" s="78">
        <v>15</v>
      </c>
      <c r="J22" s="62">
        <f t="shared" si="0"/>
        <v>20.833333333333332</v>
      </c>
      <c r="K22" s="61">
        <v>9</v>
      </c>
      <c r="L22" s="64">
        <f t="shared" si="1"/>
        <v>13.432835820895523</v>
      </c>
      <c r="M22" s="13">
        <v>1</v>
      </c>
      <c r="N22" s="21">
        <f t="shared" si="2"/>
        <v>1.3888888888888888</v>
      </c>
      <c r="O22" s="13">
        <v>3</v>
      </c>
      <c r="P22" s="23">
        <f t="shared" si="3"/>
        <v>4.477611940298507</v>
      </c>
      <c r="Q22" s="13">
        <v>5</v>
      </c>
      <c r="R22" s="21">
        <f t="shared" si="4"/>
        <v>6.944444444444445</v>
      </c>
      <c r="S22" s="13">
        <v>9</v>
      </c>
      <c r="T22" s="23">
        <f t="shared" si="5"/>
        <v>13.432835820895523</v>
      </c>
      <c r="U22" s="11">
        <v>48</v>
      </c>
      <c r="V22" s="21">
        <f t="shared" si="6"/>
        <v>66.66666666666667</v>
      </c>
      <c r="W22" s="11">
        <v>43</v>
      </c>
      <c r="X22" s="23">
        <f t="shared" si="7"/>
        <v>64.17910447761194</v>
      </c>
      <c r="Y22" s="13">
        <v>3</v>
      </c>
      <c r="Z22" s="21">
        <f t="shared" si="8"/>
        <v>4.166666666666667</v>
      </c>
      <c r="AA22" s="13">
        <v>3</v>
      </c>
      <c r="AB22" s="38">
        <f t="shared" si="9"/>
        <v>4.477611940298507</v>
      </c>
    </row>
    <row r="23" spans="1:28" ht="12.75">
      <c r="A23" s="15" t="s">
        <v>28</v>
      </c>
      <c r="B23" s="11">
        <v>129</v>
      </c>
      <c r="C23" s="11">
        <v>120</v>
      </c>
      <c r="D23" s="13">
        <v>80</v>
      </c>
      <c r="E23" s="13">
        <v>67</v>
      </c>
      <c r="F23" s="42">
        <v>3</v>
      </c>
      <c r="G23" s="13">
        <v>77</v>
      </c>
      <c r="H23" s="101">
        <v>64</v>
      </c>
      <c r="I23" s="78">
        <v>6</v>
      </c>
      <c r="J23" s="62">
        <f t="shared" si="0"/>
        <v>7.792207792207792</v>
      </c>
      <c r="K23" s="61">
        <v>4</v>
      </c>
      <c r="L23" s="64">
        <f t="shared" si="1"/>
        <v>6.25</v>
      </c>
      <c r="M23" s="13">
        <v>1</v>
      </c>
      <c r="N23" s="21">
        <f t="shared" si="2"/>
        <v>1.2987012987012987</v>
      </c>
      <c r="O23" s="13">
        <v>2</v>
      </c>
      <c r="P23" s="23">
        <f t="shared" si="3"/>
        <v>3.125</v>
      </c>
      <c r="Q23" s="13">
        <v>19</v>
      </c>
      <c r="R23" s="21">
        <f t="shared" si="4"/>
        <v>24.675324675324674</v>
      </c>
      <c r="S23" s="13">
        <v>20</v>
      </c>
      <c r="T23" s="23">
        <f t="shared" si="5"/>
        <v>31.25</v>
      </c>
      <c r="U23" s="11">
        <v>42</v>
      </c>
      <c r="V23" s="21">
        <f t="shared" si="6"/>
        <v>54.54545454545455</v>
      </c>
      <c r="W23" s="11">
        <v>30</v>
      </c>
      <c r="X23" s="23">
        <f t="shared" si="7"/>
        <v>46.875</v>
      </c>
      <c r="Y23" s="13">
        <v>9</v>
      </c>
      <c r="Z23" s="21">
        <f t="shared" si="8"/>
        <v>11.688311688311689</v>
      </c>
      <c r="AA23" s="13">
        <v>8</v>
      </c>
      <c r="AB23" s="38">
        <f t="shared" si="9"/>
        <v>12.5</v>
      </c>
    </row>
    <row r="24" spans="1:28" ht="12.75">
      <c r="A24" s="15" t="s">
        <v>29</v>
      </c>
      <c r="B24" s="11">
        <v>1099</v>
      </c>
      <c r="C24" s="11">
        <v>1169</v>
      </c>
      <c r="D24" s="13">
        <v>631</v>
      </c>
      <c r="E24" s="13">
        <v>567</v>
      </c>
      <c r="F24" s="42">
        <v>7</v>
      </c>
      <c r="G24" s="13">
        <v>624</v>
      </c>
      <c r="H24" s="101">
        <v>553</v>
      </c>
      <c r="I24" s="78">
        <v>120</v>
      </c>
      <c r="J24" s="62">
        <f t="shared" si="0"/>
        <v>19.23076923076923</v>
      </c>
      <c r="K24" s="61">
        <v>115</v>
      </c>
      <c r="L24" s="64">
        <f t="shared" si="1"/>
        <v>20.795660036166364</v>
      </c>
      <c r="M24" s="13">
        <v>88</v>
      </c>
      <c r="N24" s="21">
        <f t="shared" si="2"/>
        <v>14.102564102564102</v>
      </c>
      <c r="O24" s="13">
        <v>78</v>
      </c>
      <c r="P24" s="23">
        <f t="shared" si="3"/>
        <v>14.104882459312838</v>
      </c>
      <c r="Q24" s="13">
        <v>122</v>
      </c>
      <c r="R24" s="21">
        <f t="shared" si="4"/>
        <v>19.55128205128205</v>
      </c>
      <c r="S24" s="13">
        <v>126</v>
      </c>
      <c r="T24" s="23">
        <f t="shared" si="5"/>
        <v>22.78481012658228</v>
      </c>
      <c r="U24" s="11">
        <v>256</v>
      </c>
      <c r="V24" s="21">
        <f t="shared" si="6"/>
        <v>41.02564102564103</v>
      </c>
      <c r="W24" s="11">
        <v>200</v>
      </c>
      <c r="X24" s="23">
        <f t="shared" si="7"/>
        <v>36.166365280289334</v>
      </c>
      <c r="Y24" s="13">
        <v>38</v>
      </c>
      <c r="Z24" s="21">
        <f t="shared" si="8"/>
        <v>6.089743589743589</v>
      </c>
      <c r="AA24" s="13">
        <v>34</v>
      </c>
      <c r="AB24" s="38">
        <f t="shared" si="9"/>
        <v>6.1482820976491865</v>
      </c>
    </row>
    <row r="25" spans="1:28" ht="12.75">
      <c r="A25" s="15" t="s">
        <v>30</v>
      </c>
      <c r="B25" s="11">
        <v>200</v>
      </c>
      <c r="C25" s="11">
        <v>127</v>
      </c>
      <c r="D25" s="13">
        <v>107</v>
      </c>
      <c r="E25" s="13">
        <v>77</v>
      </c>
      <c r="F25" s="42">
        <v>6</v>
      </c>
      <c r="G25" s="13">
        <v>101</v>
      </c>
      <c r="H25" s="101">
        <v>76</v>
      </c>
      <c r="I25" s="78">
        <v>22</v>
      </c>
      <c r="J25" s="62">
        <f t="shared" si="0"/>
        <v>21.782178217821784</v>
      </c>
      <c r="K25" s="61">
        <v>20</v>
      </c>
      <c r="L25" s="64">
        <f t="shared" si="1"/>
        <v>26.31578947368421</v>
      </c>
      <c r="M25" s="13">
        <v>6</v>
      </c>
      <c r="N25" s="21">
        <f t="shared" si="2"/>
        <v>5.9405940594059405</v>
      </c>
      <c r="O25" s="13">
        <v>1</v>
      </c>
      <c r="P25" s="23">
        <f t="shared" si="3"/>
        <v>1.3157894736842106</v>
      </c>
      <c r="Q25" s="13">
        <v>16</v>
      </c>
      <c r="R25" s="21">
        <f t="shared" si="4"/>
        <v>15.841584158415841</v>
      </c>
      <c r="S25" s="13">
        <v>9</v>
      </c>
      <c r="T25" s="23">
        <f t="shared" si="5"/>
        <v>11.842105263157896</v>
      </c>
      <c r="U25" s="11">
        <v>38</v>
      </c>
      <c r="V25" s="21">
        <f t="shared" si="6"/>
        <v>37.62376237623762</v>
      </c>
      <c r="W25" s="11">
        <v>31</v>
      </c>
      <c r="X25" s="23">
        <f t="shared" si="7"/>
        <v>40.78947368421053</v>
      </c>
      <c r="Y25" s="13">
        <v>19</v>
      </c>
      <c r="Z25" s="21">
        <f t="shared" si="8"/>
        <v>18.81188118811881</v>
      </c>
      <c r="AA25" s="13">
        <v>15</v>
      </c>
      <c r="AB25" s="38">
        <f t="shared" si="9"/>
        <v>19.736842105263158</v>
      </c>
    </row>
    <row r="26" spans="1:28" ht="12.75">
      <c r="A26" s="15" t="s">
        <v>31</v>
      </c>
      <c r="B26" s="11">
        <v>65</v>
      </c>
      <c r="C26" s="11">
        <v>61</v>
      </c>
      <c r="D26" s="13">
        <v>44</v>
      </c>
      <c r="E26" s="13">
        <v>46</v>
      </c>
      <c r="F26" s="42">
        <v>2</v>
      </c>
      <c r="G26" s="13">
        <v>42</v>
      </c>
      <c r="H26" s="101">
        <v>45</v>
      </c>
      <c r="I26" s="78">
        <v>3</v>
      </c>
      <c r="J26" s="62">
        <f t="shared" si="0"/>
        <v>7.142857142857143</v>
      </c>
      <c r="K26" s="61">
        <v>4</v>
      </c>
      <c r="L26" s="64">
        <f t="shared" si="1"/>
        <v>8.88888888888889</v>
      </c>
      <c r="M26" s="13">
        <v>2</v>
      </c>
      <c r="N26" s="21">
        <f t="shared" si="2"/>
        <v>4.761904761904762</v>
      </c>
      <c r="O26" s="13">
        <v>0</v>
      </c>
      <c r="P26" s="23">
        <f t="shared" si="3"/>
      </c>
      <c r="Q26" s="13">
        <v>6</v>
      </c>
      <c r="R26" s="21">
        <f t="shared" si="4"/>
        <v>14.285714285714286</v>
      </c>
      <c r="S26" s="13">
        <v>5</v>
      </c>
      <c r="T26" s="23">
        <f t="shared" si="5"/>
        <v>11.11111111111111</v>
      </c>
      <c r="U26" s="11">
        <v>26</v>
      </c>
      <c r="V26" s="21">
        <f t="shared" si="6"/>
        <v>61.904761904761905</v>
      </c>
      <c r="W26" s="11">
        <v>26</v>
      </c>
      <c r="X26" s="23">
        <f t="shared" si="7"/>
        <v>57.77777777777778</v>
      </c>
      <c r="Y26" s="13">
        <v>5</v>
      </c>
      <c r="Z26" s="21">
        <f t="shared" si="8"/>
        <v>11.904761904761905</v>
      </c>
      <c r="AA26" s="13">
        <v>10</v>
      </c>
      <c r="AB26" s="38">
        <f t="shared" si="9"/>
        <v>22.22222222222222</v>
      </c>
    </row>
    <row r="27" spans="1:28" ht="12.75">
      <c r="A27" s="15" t="s">
        <v>32</v>
      </c>
      <c r="B27" s="11">
        <v>260</v>
      </c>
      <c r="C27" s="11">
        <v>216</v>
      </c>
      <c r="D27" s="13">
        <v>141</v>
      </c>
      <c r="E27" s="13">
        <v>122</v>
      </c>
      <c r="F27" s="42">
        <v>12</v>
      </c>
      <c r="G27" s="13">
        <v>129</v>
      </c>
      <c r="H27" s="101">
        <v>118</v>
      </c>
      <c r="I27" s="78">
        <v>25</v>
      </c>
      <c r="J27" s="62">
        <f t="shared" si="0"/>
        <v>19.37984496124031</v>
      </c>
      <c r="K27" s="61">
        <v>26</v>
      </c>
      <c r="L27" s="64">
        <f t="shared" si="1"/>
        <v>22.033898305084747</v>
      </c>
      <c r="M27" s="13">
        <v>13</v>
      </c>
      <c r="N27" s="21">
        <f t="shared" si="2"/>
        <v>10.077519379844961</v>
      </c>
      <c r="O27" s="13">
        <v>12</v>
      </c>
      <c r="P27" s="23">
        <f t="shared" si="3"/>
        <v>10.169491525423728</v>
      </c>
      <c r="Q27" s="13">
        <v>20</v>
      </c>
      <c r="R27" s="21">
        <f t="shared" si="4"/>
        <v>15.503875968992247</v>
      </c>
      <c r="S27" s="13">
        <v>18</v>
      </c>
      <c r="T27" s="23">
        <f t="shared" si="5"/>
        <v>15.254237288135593</v>
      </c>
      <c r="U27" s="11">
        <v>59</v>
      </c>
      <c r="V27" s="21">
        <f t="shared" si="6"/>
        <v>45.736434108527135</v>
      </c>
      <c r="W27" s="11">
        <v>52</v>
      </c>
      <c r="X27" s="23">
        <f t="shared" si="7"/>
        <v>44.067796610169495</v>
      </c>
      <c r="Y27" s="13">
        <v>12</v>
      </c>
      <c r="Z27" s="21">
        <f t="shared" si="8"/>
        <v>9.30232558139535</v>
      </c>
      <c r="AA27" s="13">
        <v>10</v>
      </c>
      <c r="AB27" s="38">
        <f t="shared" si="9"/>
        <v>8.474576271186441</v>
      </c>
    </row>
    <row r="28" spans="1:28" ht="12.75">
      <c r="A28" s="15" t="s">
        <v>33</v>
      </c>
      <c r="B28" s="11">
        <v>32</v>
      </c>
      <c r="C28" s="11">
        <v>23</v>
      </c>
      <c r="D28" s="13">
        <v>16</v>
      </c>
      <c r="E28" s="13">
        <v>14</v>
      </c>
      <c r="F28" s="42">
        <v>1</v>
      </c>
      <c r="G28" s="13">
        <v>15</v>
      </c>
      <c r="H28" s="101">
        <v>14</v>
      </c>
      <c r="I28" s="78">
        <v>2</v>
      </c>
      <c r="J28" s="62">
        <f t="shared" si="0"/>
        <v>13.333333333333334</v>
      </c>
      <c r="K28" s="61">
        <v>1</v>
      </c>
      <c r="L28" s="64">
        <f t="shared" si="1"/>
        <v>7.142857142857143</v>
      </c>
      <c r="M28" s="13">
        <v>0</v>
      </c>
      <c r="N28" s="21">
        <f t="shared" si="2"/>
      </c>
      <c r="O28" s="13">
        <v>0</v>
      </c>
      <c r="P28" s="23">
        <f t="shared" si="3"/>
      </c>
      <c r="Q28" s="13">
        <v>1</v>
      </c>
      <c r="R28" s="21">
        <f t="shared" si="4"/>
        <v>6.666666666666667</v>
      </c>
      <c r="S28" s="13">
        <v>0</v>
      </c>
      <c r="T28" s="23">
        <f t="shared" si="5"/>
      </c>
      <c r="U28" s="11">
        <v>8</v>
      </c>
      <c r="V28" s="21">
        <f t="shared" si="6"/>
        <v>53.333333333333336</v>
      </c>
      <c r="W28" s="11">
        <v>11</v>
      </c>
      <c r="X28" s="23">
        <f t="shared" si="7"/>
        <v>78.57142857142857</v>
      </c>
      <c r="Y28" s="13">
        <v>4</v>
      </c>
      <c r="Z28" s="21">
        <f t="shared" si="8"/>
        <v>26.666666666666668</v>
      </c>
      <c r="AA28" s="13">
        <v>2</v>
      </c>
      <c r="AB28" s="38">
        <f t="shared" si="9"/>
        <v>14.285714285714286</v>
      </c>
    </row>
    <row r="29" spans="1:28" ht="12.75">
      <c r="A29" s="15" t="s">
        <v>34</v>
      </c>
      <c r="B29" s="11">
        <v>101</v>
      </c>
      <c r="C29" s="11">
        <v>90</v>
      </c>
      <c r="D29" s="13">
        <v>69</v>
      </c>
      <c r="E29" s="13">
        <v>65</v>
      </c>
      <c r="F29" s="42">
        <v>3</v>
      </c>
      <c r="G29" s="13">
        <v>66</v>
      </c>
      <c r="H29" s="101">
        <v>63</v>
      </c>
      <c r="I29" s="78">
        <v>1</v>
      </c>
      <c r="J29" s="62">
        <f t="shared" si="0"/>
        <v>1.5151515151515151</v>
      </c>
      <c r="K29" s="61">
        <v>3</v>
      </c>
      <c r="L29" s="64">
        <f t="shared" si="1"/>
        <v>4.761904761904762</v>
      </c>
      <c r="M29" s="13">
        <v>0</v>
      </c>
      <c r="N29" s="21">
        <f t="shared" si="2"/>
      </c>
      <c r="O29" s="13">
        <v>0</v>
      </c>
      <c r="P29" s="23">
        <f t="shared" si="3"/>
      </c>
      <c r="Q29" s="13">
        <v>10</v>
      </c>
      <c r="R29" s="21">
        <f t="shared" si="4"/>
        <v>15.151515151515152</v>
      </c>
      <c r="S29" s="13">
        <v>6</v>
      </c>
      <c r="T29" s="23">
        <f t="shared" si="5"/>
        <v>9.523809523809524</v>
      </c>
      <c r="U29" s="11">
        <v>26</v>
      </c>
      <c r="V29" s="21">
        <f t="shared" si="6"/>
        <v>39.39393939393939</v>
      </c>
      <c r="W29" s="11">
        <v>31</v>
      </c>
      <c r="X29" s="23">
        <f t="shared" si="7"/>
        <v>49.20634920634921</v>
      </c>
      <c r="Y29" s="13">
        <v>29</v>
      </c>
      <c r="Z29" s="21">
        <f t="shared" si="8"/>
        <v>43.93939393939394</v>
      </c>
      <c r="AA29" s="13">
        <v>23</v>
      </c>
      <c r="AB29" s="38">
        <f t="shared" si="9"/>
        <v>36.507936507936506</v>
      </c>
    </row>
    <row r="30" spans="1:28" ht="12.75">
      <c r="A30" s="15" t="s">
        <v>35</v>
      </c>
      <c r="B30" s="11">
        <v>228</v>
      </c>
      <c r="C30" s="11">
        <v>174</v>
      </c>
      <c r="D30" s="13">
        <v>121</v>
      </c>
      <c r="E30" s="13">
        <v>103</v>
      </c>
      <c r="F30" s="42">
        <v>8</v>
      </c>
      <c r="G30" s="13">
        <v>113</v>
      </c>
      <c r="H30" s="101">
        <v>96</v>
      </c>
      <c r="I30" s="78">
        <v>13</v>
      </c>
      <c r="J30" s="62">
        <f t="shared" si="0"/>
        <v>11.504424778761061</v>
      </c>
      <c r="K30" s="61">
        <v>13</v>
      </c>
      <c r="L30" s="64">
        <f t="shared" si="1"/>
        <v>13.541666666666666</v>
      </c>
      <c r="M30" s="13">
        <v>2</v>
      </c>
      <c r="N30" s="21">
        <f t="shared" si="2"/>
        <v>1.7699115044247788</v>
      </c>
      <c r="O30" s="13">
        <v>4</v>
      </c>
      <c r="P30" s="23">
        <f t="shared" si="3"/>
        <v>4.166666666666667</v>
      </c>
      <c r="Q30" s="13">
        <v>16</v>
      </c>
      <c r="R30" s="21">
        <f t="shared" si="4"/>
        <v>14.15929203539823</v>
      </c>
      <c r="S30" s="13">
        <v>12</v>
      </c>
      <c r="T30" s="23">
        <f t="shared" si="5"/>
        <v>12.5</v>
      </c>
      <c r="U30" s="11">
        <v>74</v>
      </c>
      <c r="V30" s="21">
        <f t="shared" si="6"/>
        <v>65.48672566371681</v>
      </c>
      <c r="W30" s="11">
        <v>55</v>
      </c>
      <c r="X30" s="23">
        <f t="shared" si="7"/>
        <v>57.291666666666664</v>
      </c>
      <c r="Y30" s="13">
        <v>8</v>
      </c>
      <c r="Z30" s="21">
        <f t="shared" si="8"/>
        <v>7.079646017699115</v>
      </c>
      <c r="AA30" s="13">
        <v>12</v>
      </c>
      <c r="AB30" s="38">
        <f t="shared" si="9"/>
        <v>12.5</v>
      </c>
    </row>
    <row r="31" spans="1:28" ht="12.75">
      <c r="A31" s="15" t="s">
        <v>36</v>
      </c>
      <c r="B31" s="11">
        <v>372</v>
      </c>
      <c r="C31" s="11">
        <v>312</v>
      </c>
      <c r="D31" s="13">
        <v>213</v>
      </c>
      <c r="E31" s="13">
        <v>180</v>
      </c>
      <c r="F31" s="42">
        <v>6</v>
      </c>
      <c r="G31" s="13">
        <v>207</v>
      </c>
      <c r="H31" s="101">
        <v>172</v>
      </c>
      <c r="I31" s="78">
        <v>48</v>
      </c>
      <c r="J31" s="62">
        <f t="shared" si="0"/>
        <v>23.18840579710145</v>
      </c>
      <c r="K31" s="61">
        <v>43</v>
      </c>
      <c r="L31" s="64">
        <f t="shared" si="1"/>
        <v>25</v>
      </c>
      <c r="M31" s="13">
        <v>19</v>
      </c>
      <c r="N31" s="21">
        <f t="shared" si="2"/>
        <v>9.178743961352657</v>
      </c>
      <c r="O31" s="13">
        <v>4</v>
      </c>
      <c r="P31" s="23">
        <f t="shared" si="3"/>
        <v>2.3255813953488373</v>
      </c>
      <c r="Q31" s="13">
        <v>50</v>
      </c>
      <c r="R31" s="21">
        <f t="shared" si="4"/>
        <v>24.154589371980677</v>
      </c>
      <c r="S31" s="13">
        <v>46</v>
      </c>
      <c r="T31" s="23">
        <f t="shared" si="5"/>
        <v>26.74418604651163</v>
      </c>
      <c r="U31" s="11">
        <v>81</v>
      </c>
      <c r="V31" s="21">
        <f t="shared" si="6"/>
        <v>39.130434782608695</v>
      </c>
      <c r="W31" s="11">
        <v>70</v>
      </c>
      <c r="X31" s="23">
        <f t="shared" si="7"/>
        <v>40.69767441860465</v>
      </c>
      <c r="Y31" s="13">
        <v>9</v>
      </c>
      <c r="Z31" s="21">
        <f t="shared" si="8"/>
        <v>4.3478260869565215</v>
      </c>
      <c r="AA31" s="13">
        <v>9</v>
      </c>
      <c r="AB31" s="38">
        <f t="shared" si="9"/>
        <v>5.232558139534884</v>
      </c>
    </row>
    <row r="32" spans="1:28" ht="12.75">
      <c r="A32" s="15" t="s">
        <v>37</v>
      </c>
      <c r="B32" s="11">
        <v>303</v>
      </c>
      <c r="C32" s="11">
        <v>245</v>
      </c>
      <c r="D32" s="13">
        <v>135</v>
      </c>
      <c r="E32" s="13">
        <v>118</v>
      </c>
      <c r="F32" s="42">
        <v>5</v>
      </c>
      <c r="G32" s="13">
        <v>130</v>
      </c>
      <c r="H32" s="101">
        <v>111</v>
      </c>
      <c r="I32" s="78">
        <v>16</v>
      </c>
      <c r="J32" s="62">
        <f t="shared" si="0"/>
        <v>12.307692307692308</v>
      </c>
      <c r="K32" s="61">
        <v>21</v>
      </c>
      <c r="L32" s="64">
        <f t="shared" si="1"/>
        <v>18.91891891891892</v>
      </c>
      <c r="M32" s="13">
        <v>8</v>
      </c>
      <c r="N32" s="21">
        <f t="shared" si="2"/>
        <v>6.153846153846154</v>
      </c>
      <c r="O32" s="13">
        <v>6</v>
      </c>
      <c r="P32" s="23">
        <f t="shared" si="3"/>
        <v>5.405405405405405</v>
      </c>
      <c r="Q32" s="13">
        <v>15</v>
      </c>
      <c r="R32" s="21">
        <f t="shared" si="4"/>
        <v>11.538461538461538</v>
      </c>
      <c r="S32" s="13">
        <v>19</v>
      </c>
      <c r="T32" s="23">
        <f t="shared" si="5"/>
        <v>17.117117117117118</v>
      </c>
      <c r="U32" s="11">
        <v>67</v>
      </c>
      <c r="V32" s="21">
        <f t="shared" si="6"/>
        <v>51.53846153846154</v>
      </c>
      <c r="W32" s="11">
        <v>53</v>
      </c>
      <c r="X32" s="23">
        <f t="shared" si="7"/>
        <v>47.747747747747745</v>
      </c>
      <c r="Y32" s="13">
        <v>24</v>
      </c>
      <c r="Z32" s="21">
        <f t="shared" si="8"/>
        <v>18.46153846153846</v>
      </c>
      <c r="AA32" s="13">
        <v>12</v>
      </c>
      <c r="AB32" s="38">
        <f t="shared" si="9"/>
        <v>10.81081081081081</v>
      </c>
    </row>
    <row r="33" spans="1:28" ht="12.75">
      <c r="A33" s="15" t="s">
        <v>60</v>
      </c>
      <c r="B33" s="11">
        <v>10</v>
      </c>
      <c r="C33" s="11"/>
      <c r="D33" s="13">
        <v>9</v>
      </c>
      <c r="E33" s="13"/>
      <c r="F33" s="42">
        <v>0</v>
      </c>
      <c r="G33" s="13">
        <v>9</v>
      </c>
      <c r="H33" s="101"/>
      <c r="I33" s="78">
        <v>0</v>
      </c>
      <c r="J33" s="62">
        <f t="shared" si="0"/>
      </c>
      <c r="K33" s="61"/>
      <c r="L33" s="64">
        <f t="shared" si="1"/>
      </c>
      <c r="M33" s="13">
        <v>0</v>
      </c>
      <c r="N33" s="21">
        <f t="shared" si="2"/>
      </c>
      <c r="O33" s="13"/>
      <c r="P33" s="23">
        <f t="shared" si="3"/>
      </c>
      <c r="Q33" s="13">
        <v>0</v>
      </c>
      <c r="R33" s="21">
        <f t="shared" si="4"/>
      </c>
      <c r="S33" s="13"/>
      <c r="T33" s="23">
        <f t="shared" si="5"/>
      </c>
      <c r="U33" s="11">
        <v>9</v>
      </c>
      <c r="V33" s="21">
        <f t="shared" si="6"/>
        <v>100</v>
      </c>
      <c r="W33" s="11"/>
      <c r="X33" s="23"/>
      <c r="Y33" s="13">
        <v>0</v>
      </c>
      <c r="Z33" s="21">
        <f t="shared" si="8"/>
      </c>
      <c r="AA33" s="13"/>
      <c r="AB33" s="38">
        <f t="shared" si="9"/>
      </c>
    </row>
    <row r="34" spans="1:28" ht="12.75">
      <c r="A34" s="15" t="s">
        <v>61</v>
      </c>
      <c r="B34" s="11">
        <v>36</v>
      </c>
      <c r="C34" s="11">
        <v>28</v>
      </c>
      <c r="D34" s="13">
        <v>14</v>
      </c>
      <c r="E34" s="13">
        <v>19</v>
      </c>
      <c r="F34" s="42">
        <v>0</v>
      </c>
      <c r="G34" s="13">
        <v>14</v>
      </c>
      <c r="H34" s="101">
        <v>19</v>
      </c>
      <c r="I34" s="78">
        <v>2</v>
      </c>
      <c r="J34" s="62">
        <f t="shared" si="0"/>
        <v>14.285714285714286</v>
      </c>
      <c r="K34" s="61">
        <v>0</v>
      </c>
      <c r="L34" s="64">
        <f t="shared" si="1"/>
      </c>
      <c r="M34" s="13">
        <v>0</v>
      </c>
      <c r="N34" s="21">
        <f t="shared" si="2"/>
      </c>
      <c r="O34" s="13">
        <v>0</v>
      </c>
      <c r="P34" s="23">
        <f t="shared" si="3"/>
      </c>
      <c r="Q34" s="13">
        <v>0</v>
      </c>
      <c r="R34" s="21">
        <f t="shared" si="4"/>
      </c>
      <c r="S34" s="13">
        <v>1</v>
      </c>
      <c r="T34" s="23">
        <f t="shared" si="5"/>
        <v>5.2631578947368425</v>
      </c>
      <c r="U34" s="11">
        <v>11</v>
      </c>
      <c r="V34" s="21">
        <f t="shared" si="6"/>
        <v>78.57142857142857</v>
      </c>
      <c r="W34" s="11">
        <v>18</v>
      </c>
      <c r="X34" s="23">
        <f t="shared" si="7"/>
        <v>94.73684210526316</v>
      </c>
      <c r="Y34" s="13">
        <v>1</v>
      </c>
      <c r="Z34" s="21">
        <f t="shared" si="8"/>
        <v>7.142857142857143</v>
      </c>
      <c r="AA34" s="13">
        <v>0</v>
      </c>
      <c r="AB34" s="38">
        <f t="shared" si="9"/>
      </c>
    </row>
    <row r="35" spans="1:28" ht="12.75">
      <c r="A35" s="15" t="s">
        <v>71</v>
      </c>
      <c r="B35" s="11">
        <v>50</v>
      </c>
      <c r="C35" s="11"/>
      <c r="D35" s="13">
        <v>32</v>
      </c>
      <c r="E35" s="13"/>
      <c r="F35" s="42">
        <v>1</v>
      </c>
      <c r="G35" s="13">
        <v>31</v>
      </c>
      <c r="H35" s="101"/>
      <c r="I35" s="78">
        <v>3</v>
      </c>
      <c r="J35" s="62">
        <f t="shared" si="0"/>
        <v>9.67741935483871</v>
      </c>
      <c r="K35" s="61"/>
      <c r="L35" s="64">
        <f t="shared" si="1"/>
      </c>
      <c r="M35" s="13">
        <v>3</v>
      </c>
      <c r="N35" s="21">
        <f t="shared" si="2"/>
        <v>9.67741935483871</v>
      </c>
      <c r="O35" s="13"/>
      <c r="P35" s="23">
        <f t="shared" si="3"/>
      </c>
      <c r="Q35" s="13">
        <v>2</v>
      </c>
      <c r="R35" s="21">
        <f t="shared" si="4"/>
        <v>6.451612903225806</v>
      </c>
      <c r="S35" s="13"/>
      <c r="T35" s="23">
        <f t="shared" si="5"/>
      </c>
      <c r="U35" s="11">
        <v>21</v>
      </c>
      <c r="V35" s="21">
        <f t="shared" si="6"/>
        <v>67.74193548387096</v>
      </c>
      <c r="W35" s="11"/>
      <c r="X35" s="23">
        <f t="shared" si="7"/>
      </c>
      <c r="Y35" s="13">
        <v>2</v>
      </c>
      <c r="Z35" s="21">
        <f t="shared" si="8"/>
        <v>6.451612903225806</v>
      </c>
      <c r="AA35" s="13"/>
      <c r="AB35" s="38">
        <f t="shared" si="9"/>
      </c>
    </row>
    <row r="36" spans="1:28" ht="12.75">
      <c r="A36" s="15" t="s">
        <v>38</v>
      </c>
      <c r="B36" s="11"/>
      <c r="C36" s="11">
        <v>39</v>
      </c>
      <c r="D36" s="13"/>
      <c r="E36" s="13">
        <v>22</v>
      </c>
      <c r="F36" s="42"/>
      <c r="G36" s="13"/>
      <c r="H36" s="101">
        <v>21</v>
      </c>
      <c r="I36" s="78"/>
      <c r="J36" s="62">
        <f t="shared" si="0"/>
      </c>
      <c r="K36" s="61">
        <v>0</v>
      </c>
      <c r="L36" s="64">
        <f t="shared" si="1"/>
      </c>
      <c r="M36" s="13"/>
      <c r="N36" s="21">
        <f t="shared" si="2"/>
      </c>
      <c r="O36" s="13">
        <v>0</v>
      </c>
      <c r="P36" s="23">
        <f t="shared" si="3"/>
      </c>
      <c r="Q36" s="13"/>
      <c r="R36" s="21">
        <f t="shared" si="4"/>
      </c>
      <c r="S36" s="13">
        <v>3</v>
      </c>
      <c r="T36" s="23">
        <f t="shared" si="5"/>
        <v>14.285714285714286</v>
      </c>
      <c r="U36" s="11"/>
      <c r="V36" s="21">
        <f t="shared" si="6"/>
      </c>
      <c r="W36" s="11">
        <v>17</v>
      </c>
      <c r="X36" s="23">
        <f t="shared" si="7"/>
        <v>80.95238095238095</v>
      </c>
      <c r="Y36" s="13"/>
      <c r="Z36" s="21">
        <f t="shared" si="8"/>
      </c>
      <c r="AA36" s="13">
        <v>1</v>
      </c>
      <c r="AB36" s="38">
        <f t="shared" si="9"/>
        <v>4.761904761904762</v>
      </c>
    </row>
    <row r="37" spans="1:28" ht="12.75">
      <c r="A37" s="24" t="s">
        <v>41</v>
      </c>
      <c r="B37" s="11"/>
      <c r="C37" s="11"/>
      <c r="D37" s="13"/>
      <c r="E37" s="13"/>
      <c r="F37" s="42"/>
      <c r="G37" s="13"/>
      <c r="H37" s="101"/>
      <c r="I37" s="78"/>
      <c r="J37" s="62">
        <f t="shared" si="0"/>
      </c>
      <c r="K37" s="61"/>
      <c r="L37" s="64">
        <f t="shared" si="1"/>
      </c>
      <c r="M37" s="13"/>
      <c r="N37" s="21">
        <f t="shared" si="2"/>
      </c>
      <c r="O37" s="13"/>
      <c r="P37" s="23">
        <f t="shared" si="3"/>
      </c>
      <c r="Q37" s="13"/>
      <c r="R37" s="21">
        <f t="shared" si="4"/>
      </c>
      <c r="S37" s="13"/>
      <c r="T37" s="23">
        <f t="shared" si="5"/>
      </c>
      <c r="U37" s="11"/>
      <c r="V37" s="21">
        <f t="shared" si="6"/>
      </c>
      <c r="W37" s="11"/>
      <c r="X37" s="23">
        <f t="shared" si="7"/>
      </c>
      <c r="Y37" s="13"/>
      <c r="Z37" s="21">
        <f t="shared" si="8"/>
      </c>
      <c r="AA37" s="13"/>
      <c r="AB37" s="38">
        <f t="shared" si="9"/>
      </c>
    </row>
    <row r="38" spans="1:28" ht="12.75">
      <c r="A38" s="15" t="s">
        <v>47</v>
      </c>
      <c r="B38" s="11"/>
      <c r="C38" s="11"/>
      <c r="D38" s="13"/>
      <c r="E38" s="13"/>
      <c r="F38" s="42"/>
      <c r="G38" s="13"/>
      <c r="H38" s="101"/>
      <c r="I38" s="78"/>
      <c r="J38" s="62">
        <f t="shared" si="0"/>
      </c>
      <c r="K38" s="61"/>
      <c r="L38" s="64">
        <f t="shared" si="1"/>
      </c>
      <c r="M38" s="13"/>
      <c r="N38" s="21">
        <f t="shared" si="2"/>
      </c>
      <c r="O38" s="13"/>
      <c r="P38" s="23">
        <f t="shared" si="3"/>
      </c>
      <c r="Q38" s="13"/>
      <c r="R38" s="21">
        <f t="shared" si="4"/>
      </c>
      <c r="S38" s="13"/>
      <c r="T38" s="23">
        <f t="shared" si="5"/>
      </c>
      <c r="U38" s="11"/>
      <c r="V38" s="21">
        <f t="shared" si="6"/>
      </c>
      <c r="W38" s="11"/>
      <c r="X38" s="23">
        <f t="shared" si="7"/>
      </c>
      <c r="Y38" s="13"/>
      <c r="Z38" s="21">
        <f t="shared" si="8"/>
      </c>
      <c r="AA38" s="13"/>
      <c r="AB38" s="38">
        <f t="shared" si="9"/>
      </c>
    </row>
    <row r="39" spans="1:28" ht="13.5" thickBot="1">
      <c r="A39" s="16"/>
      <c r="B39" s="11"/>
      <c r="C39" s="11"/>
      <c r="D39" s="13"/>
      <c r="E39" s="13"/>
      <c r="F39" s="42"/>
      <c r="G39" s="13"/>
      <c r="H39" s="101"/>
      <c r="I39" s="80"/>
      <c r="J39" s="67">
        <f t="shared" si="0"/>
      </c>
      <c r="K39" s="66"/>
      <c r="L39" s="68">
        <f t="shared" si="1"/>
      </c>
      <c r="M39" s="26"/>
      <c r="N39" s="29">
        <f t="shared" si="2"/>
      </c>
      <c r="O39" s="26"/>
      <c r="P39" s="35">
        <f t="shared" si="3"/>
      </c>
      <c r="Q39" s="26"/>
      <c r="R39" s="29">
        <f t="shared" si="4"/>
      </c>
      <c r="S39" s="26"/>
      <c r="T39" s="35">
        <f t="shared" si="5"/>
      </c>
      <c r="U39" s="25"/>
      <c r="V39" s="29">
        <f t="shared" si="6"/>
      </c>
      <c r="W39" s="25"/>
      <c r="X39" s="35">
        <f t="shared" si="7"/>
      </c>
      <c r="Y39" s="26"/>
      <c r="Z39" s="29">
        <f t="shared" si="8"/>
      </c>
      <c r="AA39" s="26"/>
      <c r="AB39" s="39">
        <f t="shared" si="9"/>
      </c>
    </row>
    <row r="40" spans="1:28" ht="13.5" thickBot="1">
      <c r="A40" s="3" t="s">
        <v>39</v>
      </c>
      <c r="B40" s="18">
        <f>SUM(B6:B38)</f>
        <v>6220</v>
      </c>
      <c r="C40" s="18">
        <f>SUM(C6:C38)</f>
        <v>5486</v>
      </c>
      <c r="D40" s="33">
        <f aca="true" t="shared" si="10" ref="D40:I40">SUM(D6:D36)</f>
        <v>3491</v>
      </c>
      <c r="E40" s="33">
        <f t="shared" si="10"/>
        <v>3040</v>
      </c>
      <c r="F40" s="43">
        <f t="shared" si="10"/>
        <v>152</v>
      </c>
      <c r="G40" s="33">
        <f t="shared" si="10"/>
        <v>3339</v>
      </c>
      <c r="H40" s="102">
        <f t="shared" si="10"/>
        <v>2914</v>
      </c>
      <c r="I40" s="69">
        <f t="shared" si="10"/>
        <v>506</v>
      </c>
      <c r="J40" s="70">
        <f t="shared" si="0"/>
        <v>15.15423779574723</v>
      </c>
      <c r="K40" s="69">
        <f>SUM(K6:K36)</f>
        <v>487</v>
      </c>
      <c r="L40" s="72">
        <f t="shared" si="1"/>
        <v>16.7124227865477</v>
      </c>
      <c r="M40" s="33">
        <f>SUM(M6:M36)</f>
        <v>225</v>
      </c>
      <c r="N40" s="22">
        <f t="shared" si="2"/>
        <v>6.738544474393531</v>
      </c>
      <c r="O40" s="33">
        <f>SUM(O6:O36)</f>
        <v>203</v>
      </c>
      <c r="P40" s="36">
        <f t="shared" si="3"/>
        <v>6.96636925188744</v>
      </c>
      <c r="Q40" s="33">
        <f>SUM(Q6:Q36)</f>
        <v>582</v>
      </c>
      <c r="R40" s="22">
        <f t="shared" si="4"/>
        <v>17.4303683737646</v>
      </c>
      <c r="S40" s="33">
        <f>SUM(S6:S36)</f>
        <v>548</v>
      </c>
      <c r="T40" s="36">
        <f t="shared" si="5"/>
        <v>18.80576527110501</v>
      </c>
      <c r="U40" s="33">
        <f>SUM(U6:U36)</f>
        <v>1671</v>
      </c>
      <c r="V40" s="22">
        <f t="shared" si="6"/>
        <v>50.04492362982929</v>
      </c>
      <c r="W40" s="33">
        <f>SUM(W6:W36)</f>
        <v>1350</v>
      </c>
      <c r="X40" s="36">
        <f t="shared" si="7"/>
        <v>46.32807137954701</v>
      </c>
      <c r="Y40" s="33">
        <f>SUM(Y6:Y36)</f>
        <v>355</v>
      </c>
      <c r="Z40" s="22">
        <f t="shared" si="8"/>
        <v>10.631925726265349</v>
      </c>
      <c r="AA40" s="33">
        <f>SUM(AA6:AA36)</f>
        <v>326</v>
      </c>
      <c r="AB40" s="37">
        <f t="shared" si="9"/>
        <v>11.187371310912834</v>
      </c>
    </row>
  </sheetData>
  <mergeCells count="3">
    <mergeCell ref="B4:C4"/>
    <mergeCell ref="D4:E4"/>
    <mergeCell ref="G4:H4"/>
  </mergeCells>
  <printOptions/>
  <pageMargins left="0.75" right="0.75" top="1" bottom="1" header="0.4921259845" footer="0.4921259845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B43"/>
  <sheetViews>
    <sheetView tabSelected="1" workbookViewId="0" topLeftCell="A12">
      <selection activeCell="B44" sqref="B44"/>
    </sheetView>
  </sheetViews>
  <sheetFormatPr defaultColWidth="11.421875" defaultRowHeight="12.75"/>
  <cols>
    <col min="2" max="3" width="5.28125" style="0" bestFit="1" customWidth="1"/>
    <col min="4" max="4" width="6.00390625" style="0" bestFit="1" customWidth="1"/>
    <col min="5" max="5" width="5.28125" style="0" bestFit="1" customWidth="1"/>
    <col min="6" max="6" width="4.8515625" style="0" bestFit="1" customWidth="1"/>
    <col min="7" max="8" width="5.28125" style="0" bestFit="1" customWidth="1"/>
    <col min="9" max="9" width="4.421875" style="0" bestFit="1" customWidth="1"/>
    <col min="10" max="10" width="7.28125" style="0" bestFit="1" customWidth="1"/>
    <col min="11" max="11" width="4.421875" style="0" bestFit="1" customWidth="1"/>
    <col min="12" max="12" width="7.8515625" style="0" customWidth="1"/>
    <col min="13" max="13" width="4.421875" style="0" bestFit="1" customWidth="1"/>
    <col min="14" max="14" width="7.28125" style="0" bestFit="1" customWidth="1"/>
    <col min="15" max="15" width="4.421875" style="0" bestFit="1" customWidth="1"/>
    <col min="16" max="16" width="7.28125" style="0" bestFit="1" customWidth="1"/>
    <col min="17" max="17" width="4.421875" style="0" bestFit="1" customWidth="1"/>
    <col min="18" max="18" width="7.28125" style="0" bestFit="1" customWidth="1"/>
    <col min="19" max="19" width="4.421875" style="0" bestFit="1" customWidth="1"/>
    <col min="20" max="20" width="7.28125" style="0" bestFit="1" customWidth="1"/>
    <col min="21" max="21" width="4.421875" style="0" bestFit="1" customWidth="1"/>
    <col min="22" max="22" width="7.28125" style="0" bestFit="1" customWidth="1"/>
    <col min="23" max="23" width="4.421875" style="0" bestFit="1" customWidth="1"/>
    <col min="24" max="24" width="8.140625" style="0" bestFit="1" customWidth="1"/>
    <col min="25" max="25" width="4.421875" style="0" bestFit="1" customWidth="1"/>
    <col min="26" max="26" width="7.28125" style="0" bestFit="1" customWidth="1"/>
    <col min="27" max="27" width="4.421875" style="0" bestFit="1" customWidth="1"/>
    <col min="28" max="28" width="7.28125" style="0" bestFit="1" customWidth="1"/>
    <col min="29" max="31" width="6.7109375" style="0" customWidth="1"/>
  </cols>
  <sheetData>
    <row r="1" spans="1:28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thickBot="1">
      <c r="A4" s="3"/>
      <c r="B4" s="105" t="s">
        <v>6</v>
      </c>
      <c r="C4" s="106"/>
      <c r="D4" s="107" t="s">
        <v>7</v>
      </c>
      <c r="E4" s="108"/>
      <c r="F4" s="40" t="s">
        <v>0</v>
      </c>
      <c r="G4" s="105" t="s">
        <v>40</v>
      </c>
      <c r="H4" s="109"/>
      <c r="I4" s="56" t="s">
        <v>1</v>
      </c>
      <c r="J4" s="57"/>
      <c r="K4" s="57"/>
      <c r="L4" s="57"/>
      <c r="M4" s="4" t="s">
        <v>2</v>
      </c>
      <c r="N4" s="4"/>
      <c r="O4" s="4"/>
      <c r="P4" s="4"/>
      <c r="Q4" s="4" t="s">
        <v>3</v>
      </c>
      <c r="R4" s="4"/>
      <c r="S4" s="4"/>
      <c r="T4" s="4"/>
      <c r="U4" s="5" t="s">
        <v>68</v>
      </c>
      <c r="V4" s="5"/>
      <c r="W4" s="4"/>
      <c r="X4" s="31"/>
      <c r="Y4" s="4" t="s">
        <v>4</v>
      </c>
      <c r="Z4" s="4"/>
      <c r="AA4" s="4"/>
      <c r="AB4" s="4"/>
    </row>
    <row r="5" spans="1:28" ht="13.5" thickBot="1">
      <c r="A5" s="6" t="s">
        <v>5</v>
      </c>
      <c r="B5" s="6">
        <v>2008</v>
      </c>
      <c r="C5" s="20">
        <v>2005</v>
      </c>
      <c r="D5" s="6">
        <v>2008</v>
      </c>
      <c r="E5" s="6">
        <v>2005</v>
      </c>
      <c r="F5" s="41" t="s">
        <v>8</v>
      </c>
      <c r="G5" s="6">
        <v>2008</v>
      </c>
      <c r="H5" s="6">
        <v>2005</v>
      </c>
      <c r="I5" s="58">
        <v>2008</v>
      </c>
      <c r="J5" s="59" t="s">
        <v>9</v>
      </c>
      <c r="K5" s="59">
        <v>2005</v>
      </c>
      <c r="L5" s="60" t="s">
        <v>9</v>
      </c>
      <c r="M5" s="7">
        <v>2008</v>
      </c>
      <c r="N5" s="8" t="s">
        <v>9</v>
      </c>
      <c r="O5" s="8">
        <v>2005</v>
      </c>
      <c r="P5" s="9" t="s">
        <v>9</v>
      </c>
      <c r="Q5" s="7">
        <v>2008</v>
      </c>
      <c r="R5" s="8" t="s">
        <v>9</v>
      </c>
      <c r="S5" s="8">
        <v>2005</v>
      </c>
      <c r="T5" s="9" t="s">
        <v>9</v>
      </c>
      <c r="U5" s="8">
        <v>2008</v>
      </c>
      <c r="V5" s="8" t="s">
        <v>9</v>
      </c>
      <c r="W5" s="8">
        <v>2005</v>
      </c>
      <c r="X5" s="51" t="s">
        <v>9</v>
      </c>
      <c r="Y5" s="7">
        <v>2008</v>
      </c>
      <c r="Z5" s="8" t="s">
        <v>9</v>
      </c>
      <c r="AA5" s="8">
        <v>2005</v>
      </c>
      <c r="AB5" s="30" t="s">
        <v>9</v>
      </c>
    </row>
    <row r="6" spans="1:28" ht="12.75">
      <c r="A6" s="10" t="s">
        <v>10</v>
      </c>
      <c r="B6" s="11">
        <f>'IR'!B6+ADT!B6+TECHN!B6+'AI'!B6+'IE'!B6</f>
        <v>1851</v>
      </c>
      <c r="C6" s="34">
        <f>'IR'!C6+ADT!C6+TECHN!C6+'AI'!C6+'IE'!C6</f>
        <v>1712</v>
      </c>
      <c r="D6" s="13">
        <f>'IR'!D6+ADT!D6+TECHN!D6+'AI'!D6+'IE'!D6</f>
        <v>1120</v>
      </c>
      <c r="E6" s="12">
        <f>'IR'!E6+ADT!E6+TECHN!E6+'AI'!E6+'IE'!E6</f>
        <v>1018</v>
      </c>
      <c r="F6" s="42">
        <f>'IR'!F6+ADT!F6+TECHN!F6+'AI'!F6+'IE'!F6</f>
        <v>54</v>
      </c>
      <c r="G6" s="13">
        <f>'IR'!G6+ADT!G6+TECHN!G6+'AI'!G6+'IE'!G6</f>
        <v>1066</v>
      </c>
      <c r="H6" s="12">
        <f>'IR'!H6+ADT!H6+TECHN!H6+'AI'!H6+'IE'!H6</f>
        <v>960</v>
      </c>
      <c r="I6" s="61">
        <f>'IR'!I6+ADT!I6+TECHN!I6+'AI'!I6+'IE'!I6</f>
        <v>319</v>
      </c>
      <c r="J6" s="62">
        <f>IF(I6&gt;0,(I6*100)/G6,"")</f>
        <v>29.924953095684803</v>
      </c>
      <c r="K6" s="63">
        <f>'IR'!K6+ADT!K6+'AI'!K6+TECHN!K6+'IE'!K6</f>
        <v>278</v>
      </c>
      <c r="L6" s="64">
        <f>IF(K6&gt;0,(K6*100)/H6,"")</f>
        <v>28.958333333333332</v>
      </c>
      <c r="M6" s="13">
        <f>'IR'!M6+ADT!M6+TECHN!M6+'AI'!M6+'IE'!M6</f>
        <v>91</v>
      </c>
      <c r="N6" s="21">
        <f>IF(M6&gt;0,(M6*100)/G6,"")</f>
        <v>8.536585365853659</v>
      </c>
      <c r="O6" s="11">
        <f>'IR'!O6+ADT!O6+TECHN!O6+'AI'!O6+'IE'!O6</f>
        <v>124</v>
      </c>
      <c r="P6" s="23">
        <f>IF(O6&gt;0,(O6*100)/H6,"")</f>
        <v>12.916666666666666</v>
      </c>
      <c r="Q6" s="13">
        <f>'IR'!Q6+ADT!Q6+TECHN!Q6+'AI'!Q6+'IE'!Q6</f>
        <v>37</v>
      </c>
      <c r="R6" s="21">
        <f>IF(Q6&gt;0,(Q6*100)/G6,"")</f>
        <v>3.4709193245778613</v>
      </c>
      <c r="S6" s="11">
        <f>'IR'!S6+ADT!S6+TECHN!S6+'AI'!S6+'IE'!S6</f>
        <v>47</v>
      </c>
      <c r="T6" s="23">
        <f>IF(S6&gt;0,(S6*100)/H6,"")</f>
        <v>4.895833333333333</v>
      </c>
      <c r="U6" s="11">
        <f>'IR'!U6+ADT!U6+TECHN!U6+'AI'!U6+'IE'!U6</f>
        <v>518</v>
      </c>
      <c r="V6" s="21">
        <f>IF(U6&gt;0,(U6*100)/G6,"")</f>
        <v>48.592870544090054</v>
      </c>
      <c r="W6" s="11">
        <f>'IR'!W6+ADT!W6+TECHN!W6+'AI'!W6+'IE'!W6</f>
        <v>431</v>
      </c>
      <c r="X6" s="52">
        <f>IF(W6&gt;0,(W6*100)/H6,"")</f>
        <v>44.895833333333336</v>
      </c>
      <c r="Y6" s="13">
        <f>'IR'!Y6+ADT!Y6+TECHN!Y6+'AI'!Y6+'IE'!Y6</f>
        <v>79</v>
      </c>
      <c r="Z6" s="21">
        <f>IF(Y6&gt;0,(Y6*100)/G6,"")</f>
        <v>7.410881801125703</v>
      </c>
      <c r="AA6" s="11">
        <f>'IR'!AA6+ADT!AA6+TECHN!AA6+'AI'!AA6+'IE'!AA6</f>
        <v>75</v>
      </c>
      <c r="AB6" s="38">
        <f>IF(AA6&gt;0,(AA6*100)/H6,"")</f>
        <v>7.8125</v>
      </c>
    </row>
    <row r="7" spans="1:28" ht="12.75">
      <c r="A7" s="15" t="s">
        <v>11</v>
      </c>
      <c r="B7" s="11">
        <f>'IR'!B7+ADT!B7+TECHN!B7+'AI'!B7+'IE'!B7</f>
        <v>507</v>
      </c>
      <c r="C7" s="34">
        <f>'IR'!C7+ADT!C7+TECHN!C7+'AI'!C7+'IE'!C7</f>
        <v>511</v>
      </c>
      <c r="D7" s="13">
        <f>'IR'!D7+ADT!D7+TECHN!D7+'AI'!D7+'IE'!D7</f>
        <v>285</v>
      </c>
      <c r="E7" s="12">
        <f>'IR'!E7+ADT!E7+TECHN!E7+'AI'!E7+'IE'!E7</f>
        <v>287</v>
      </c>
      <c r="F7" s="42">
        <f>'IR'!F7+ADT!F7+TECHN!F7+'AI'!F7+'IE'!F7</f>
        <v>24</v>
      </c>
      <c r="G7" s="13">
        <f>'IR'!G7+ADT!G7+TECHN!G7+'AI'!G7+'IE'!G7</f>
        <v>261</v>
      </c>
      <c r="H7" s="12">
        <f>'IR'!H7+ADT!H7+TECHN!H7+'AI'!H7+'IE'!H7</f>
        <v>262</v>
      </c>
      <c r="I7" s="61">
        <f>'IR'!I7+ADT!I7+TECHN!I7+'AI'!I7+'IE'!I7</f>
        <v>25</v>
      </c>
      <c r="J7" s="62">
        <f aca="true" t="shared" si="0" ref="J7:J40">IF(I7&gt;0,(I7*100)/G7,"")</f>
        <v>9.578544061302683</v>
      </c>
      <c r="K7" s="63">
        <f>'IR'!K7+ADT!K7+'AI'!K7+TECHN!K7+'IE'!K7</f>
        <v>34</v>
      </c>
      <c r="L7" s="64">
        <f aca="true" t="shared" si="1" ref="L7:L41">IF(K7&gt;0,(K7*100)/H7,"")</f>
        <v>12.977099236641221</v>
      </c>
      <c r="M7" s="13">
        <f>'IR'!M7+ADT!M7+TECHN!M7+'AI'!M7+'IE'!M7</f>
        <v>10</v>
      </c>
      <c r="N7" s="21">
        <f aca="true" t="shared" si="2" ref="N7:N41">IF(M7&gt;0,(M7*100)/G7,"")</f>
        <v>3.8314176245210727</v>
      </c>
      <c r="O7" s="11">
        <f>'IR'!O7+ADT!O7+TECHN!O7+'AI'!O7+'IE'!O7</f>
        <v>14</v>
      </c>
      <c r="P7" s="23">
        <f aca="true" t="shared" si="3" ref="P7:P41">IF(O7&gt;0,(O7*100)/H7,"")</f>
        <v>5.343511450381679</v>
      </c>
      <c r="Q7" s="13">
        <f>'IR'!Q7+ADT!Q7+TECHN!Q7+'AI'!Q7+'IE'!Q7</f>
        <v>11</v>
      </c>
      <c r="R7" s="21">
        <f aca="true" t="shared" si="4" ref="R7:R41">IF(Q7&gt;0,(Q7*100)/G7,"")</f>
        <v>4.21455938697318</v>
      </c>
      <c r="S7" s="11">
        <f>'IR'!S7+ADT!S7+TECHN!S7+'AI'!S7+'IE'!S7</f>
        <v>19</v>
      </c>
      <c r="T7" s="23">
        <f aca="true" t="shared" si="5" ref="T7:T41">IF(S7&gt;0,(S7*100)/H7,"")</f>
        <v>7.251908396946565</v>
      </c>
      <c r="U7" s="11">
        <f>'IR'!U7+ADT!U7+TECHN!U7+'AI'!U7+'IE'!U7</f>
        <v>134</v>
      </c>
      <c r="V7" s="21">
        <f aca="true" t="shared" si="6" ref="V7:V41">IF(U7&gt;0,(U7*100)/G7,"")</f>
        <v>51.34099616858238</v>
      </c>
      <c r="W7" s="11">
        <f>'IR'!W7+ADT!W7+TECHN!W7+'AI'!W7+'IE'!W7</f>
        <v>124</v>
      </c>
      <c r="X7" s="52">
        <f aca="true" t="shared" si="7" ref="X7:X41">IF(W7&gt;0,(W7*100)/H7,"")</f>
        <v>47.32824427480916</v>
      </c>
      <c r="Y7" s="13">
        <f>'IR'!Y7+ADT!Y7+TECHN!Y7+'AI'!Y7+'IE'!Y7</f>
        <v>77</v>
      </c>
      <c r="Z7" s="21">
        <f aca="true" t="shared" si="8" ref="Z7:Z41">IF(Y7&gt;0,(Y7*100)/G7,"")</f>
        <v>29.50191570881226</v>
      </c>
      <c r="AA7" s="11">
        <f>'IR'!AA7+ADT!AA7+TECHN!AA7+'AI'!AA7+'IE'!AA7</f>
        <v>71</v>
      </c>
      <c r="AB7" s="38">
        <f aca="true" t="shared" si="9" ref="AB7:AB41">IF(AA7&gt;0,(AA7*100)/H7,"")</f>
        <v>27.099236641221374</v>
      </c>
    </row>
    <row r="8" spans="1:28" ht="12.75">
      <c r="A8" s="15" t="s">
        <v>13</v>
      </c>
      <c r="B8" s="11">
        <f>'IR'!B8+ADT!B8+TECHN!B8+'AI'!B8+'IE'!B8</f>
        <v>572</v>
      </c>
      <c r="C8" s="34">
        <f>'IR'!C8+ADT!C8+TECHN!C8+'AI'!C8+'IE'!C8</f>
        <v>534</v>
      </c>
      <c r="D8" s="13">
        <f>'IR'!D8+ADT!D8+TECHN!D8+'AI'!D8+'IE'!D8</f>
        <v>299</v>
      </c>
      <c r="E8" s="12">
        <f>'IR'!E8+ADT!E8+TECHN!E8+'AI'!E8+'IE'!E8</f>
        <v>298</v>
      </c>
      <c r="F8" s="42">
        <f>'IR'!F8+ADT!F8+TECHN!F8+'AI'!F8+'IE'!F8</f>
        <v>14</v>
      </c>
      <c r="G8" s="13">
        <f>'IR'!G8+ADT!G8+TECHN!G8+'AI'!G8+'IE'!G8</f>
        <v>285</v>
      </c>
      <c r="H8" s="12">
        <f>'IR'!H8+ADT!H8+TECHN!H8+'AI'!H8+'IE'!H8</f>
        <v>268</v>
      </c>
      <c r="I8" s="61">
        <f>'IR'!I8+ADT!I8+TECHN!I8+'AI'!I8+'IE'!I8</f>
        <v>54</v>
      </c>
      <c r="J8" s="62">
        <f t="shared" si="0"/>
        <v>18.94736842105263</v>
      </c>
      <c r="K8" s="63">
        <f>'IR'!K8+ADT!K8+'AI'!K8+TECHN!K8+'IE'!K8</f>
        <v>49</v>
      </c>
      <c r="L8" s="64">
        <f t="shared" si="1"/>
        <v>18.28358208955224</v>
      </c>
      <c r="M8" s="13">
        <f>'IR'!M8+ADT!M8+TECHN!M8+'AI'!M8+'IE'!M8</f>
        <v>3</v>
      </c>
      <c r="N8" s="21">
        <f t="shared" si="2"/>
        <v>1.0526315789473684</v>
      </c>
      <c r="O8" s="11">
        <f>'IR'!O8+ADT!O8+TECHN!O8+'AI'!O8+'IE'!O8</f>
        <v>15</v>
      </c>
      <c r="P8" s="23">
        <f t="shared" si="3"/>
        <v>5.597014925373134</v>
      </c>
      <c r="Q8" s="13">
        <f>'IR'!Q8+ADT!Q8+TECHN!Q8+'AI'!Q8+'IE'!Q8</f>
        <v>44</v>
      </c>
      <c r="R8" s="21">
        <f t="shared" si="4"/>
        <v>15.43859649122807</v>
      </c>
      <c r="S8" s="11">
        <f>'IR'!S8+ADT!S8+TECHN!S8+'AI'!S8+'IE'!S8</f>
        <v>34</v>
      </c>
      <c r="T8" s="23">
        <f t="shared" si="5"/>
        <v>12.686567164179104</v>
      </c>
      <c r="U8" s="11">
        <f>'IR'!U8+ADT!U8+TECHN!U8+'AI'!U8+'IE'!U8</f>
        <v>166</v>
      </c>
      <c r="V8" s="21">
        <f t="shared" si="6"/>
        <v>58.24561403508772</v>
      </c>
      <c r="W8" s="11">
        <f>'IR'!W8+ADT!W8+TECHN!W8+'AI'!W8+'IE'!W8</f>
        <v>157</v>
      </c>
      <c r="X8" s="52">
        <f t="shared" si="7"/>
        <v>58.582089552238806</v>
      </c>
      <c r="Y8" s="13">
        <f>'IR'!Y8+ADT!Y8+TECHN!Y8+'AI'!Y8+'IE'!Y8</f>
        <v>14</v>
      </c>
      <c r="Z8" s="21">
        <f t="shared" si="8"/>
        <v>4.912280701754386</v>
      </c>
      <c r="AA8" s="11">
        <f>'IR'!AA8+ADT!AA8+TECHN!AA8+'AI'!AA8+'IE'!AA8</f>
        <v>23</v>
      </c>
      <c r="AB8" s="38">
        <f t="shared" si="9"/>
        <v>8.582089552238806</v>
      </c>
    </row>
    <row r="9" spans="1:28" ht="12.75">
      <c r="A9" s="15" t="s">
        <v>14</v>
      </c>
      <c r="B9" s="11">
        <f>'IR'!B9+ADT!B9+TECHN!B9+'AI'!B9+'IE'!B9</f>
        <v>1547</v>
      </c>
      <c r="C9" s="34">
        <f>'IR'!C9+ADT!C9+TECHN!C9+'AI'!C9+'IE'!C9</f>
        <v>1483</v>
      </c>
      <c r="D9" s="13">
        <f>'IR'!D9+ADT!D9+TECHN!D9+'AI'!D9+'IE'!D9</f>
        <v>890</v>
      </c>
      <c r="E9" s="12">
        <f>'IR'!E9+ADT!E9+TECHN!E9+'AI'!E9+'IE'!E9</f>
        <v>855</v>
      </c>
      <c r="F9" s="42">
        <f>'IR'!F9+ADT!F9+TECHN!F9+'AI'!F9+'IE'!F9</f>
        <v>39</v>
      </c>
      <c r="G9" s="13">
        <f>'IR'!G9+ADT!G9+TECHN!G9+'AI'!G9+'IE'!G9</f>
        <v>851</v>
      </c>
      <c r="H9" s="12">
        <f>'IR'!H9+ADT!H9+TECHN!H9+'AI'!H9+'IE'!H9</f>
        <v>804</v>
      </c>
      <c r="I9" s="61">
        <f>'IR'!I9+ADT!I9+TECHN!I9+'AI'!I9+'IE'!I9</f>
        <v>227</v>
      </c>
      <c r="J9" s="62">
        <f t="shared" si="0"/>
        <v>26.674500587544067</v>
      </c>
      <c r="K9" s="63">
        <f>'IR'!K9+ADT!K9+'AI'!K9+TECHN!K9+'IE'!K9</f>
        <v>213</v>
      </c>
      <c r="L9" s="64">
        <f t="shared" si="1"/>
        <v>26.492537313432837</v>
      </c>
      <c r="M9" s="13">
        <f>'IR'!M9+ADT!M9+TECHN!M9+'AI'!M9+'IE'!M9</f>
        <v>34</v>
      </c>
      <c r="N9" s="21">
        <f t="shared" si="2"/>
        <v>3.9952996474735607</v>
      </c>
      <c r="O9" s="11">
        <f>'IR'!O9+ADT!O9+TECHN!O9+'AI'!O9+'IE'!O9</f>
        <v>32</v>
      </c>
      <c r="P9" s="23">
        <f t="shared" si="3"/>
        <v>3.9800995024875623</v>
      </c>
      <c r="Q9" s="13">
        <f>'IR'!Q9+ADT!Q9+TECHN!Q9+'AI'!Q9+'IE'!Q9</f>
        <v>109</v>
      </c>
      <c r="R9" s="21">
        <f t="shared" si="4"/>
        <v>12.808460634547592</v>
      </c>
      <c r="S9" s="11">
        <f>'IR'!S9+ADT!S9+TECHN!S9+'AI'!S9+'IE'!S9</f>
        <v>101</v>
      </c>
      <c r="T9" s="23">
        <f t="shared" si="5"/>
        <v>12.562189054726367</v>
      </c>
      <c r="U9" s="11">
        <f>'IR'!U9+ADT!U9+TECHN!U9+'AI'!U9+'IE'!U9</f>
        <v>397</v>
      </c>
      <c r="V9" s="21">
        <f t="shared" si="6"/>
        <v>46.650998824911866</v>
      </c>
      <c r="W9" s="11">
        <f>'IR'!W9+ADT!W9+TECHN!W9+'AI'!W9+'IE'!W9</f>
        <v>417</v>
      </c>
      <c r="X9" s="52">
        <f t="shared" si="7"/>
        <v>51.865671641791046</v>
      </c>
      <c r="Y9" s="13">
        <f>'IR'!Y9+ADT!Y9+TECHN!Y9+'AI'!Y9+'IE'!Y9</f>
        <v>51</v>
      </c>
      <c r="Z9" s="21">
        <f t="shared" si="8"/>
        <v>5.99294947121034</v>
      </c>
      <c r="AA9" s="11">
        <f>'IR'!AA9+ADT!AA9+TECHN!AA9+'AI'!AA9+'IE'!AA9</f>
        <v>39</v>
      </c>
      <c r="AB9" s="38">
        <f t="shared" si="9"/>
        <v>4.850746268656716</v>
      </c>
    </row>
    <row r="10" spans="1:28" ht="12.75">
      <c r="A10" s="15" t="s">
        <v>15</v>
      </c>
      <c r="B10" s="11">
        <f>'IR'!B10+ADT!B10+TECHN!B10+'AI'!B10+'IE'!B10</f>
        <v>550</v>
      </c>
      <c r="C10" s="34">
        <f>'IR'!C10+ADT!C10+TECHN!C10+'AI'!C10+'IE'!C10</f>
        <v>540</v>
      </c>
      <c r="D10" s="13">
        <f>'IR'!D10+ADT!D10+TECHN!D10+'AI'!D10+'IE'!D10</f>
        <v>242</v>
      </c>
      <c r="E10" s="12">
        <f>'IR'!E10+ADT!E10+TECHN!E10+'AI'!E10+'IE'!E10</f>
        <v>250</v>
      </c>
      <c r="F10" s="42">
        <f>'IR'!F10+ADT!F10+TECHN!F10+'AI'!F10+'IE'!F10</f>
        <v>27</v>
      </c>
      <c r="G10" s="13">
        <f>'IR'!G10+ADT!G10+TECHN!G10+'AI'!G10+'IE'!G10</f>
        <v>215</v>
      </c>
      <c r="H10" s="12">
        <f>'IR'!H10+ADT!H10+TECHN!H10+'AI'!H10+'IE'!H10</f>
        <v>243</v>
      </c>
      <c r="I10" s="61">
        <f>'IR'!I10+ADT!I10+TECHN!I10+'AI'!I10+'IE'!I10</f>
        <v>33</v>
      </c>
      <c r="J10" s="62">
        <f t="shared" si="0"/>
        <v>15.348837209302326</v>
      </c>
      <c r="K10" s="63">
        <f>'IR'!K10+ADT!K10+'AI'!K10+TECHN!K10+'IE'!K10</f>
        <v>38</v>
      </c>
      <c r="L10" s="64">
        <f t="shared" si="1"/>
        <v>15.637860082304528</v>
      </c>
      <c r="M10" s="13">
        <f>'IR'!M10+ADT!M10+TECHN!M10+'AI'!M10+'IE'!M10</f>
        <v>13</v>
      </c>
      <c r="N10" s="21">
        <f t="shared" si="2"/>
        <v>6.046511627906977</v>
      </c>
      <c r="O10" s="11">
        <f>'IR'!O10+ADT!O10+TECHN!O10+'AI'!O10+'IE'!O10</f>
        <v>16</v>
      </c>
      <c r="P10" s="23">
        <f t="shared" si="3"/>
        <v>6.584362139917696</v>
      </c>
      <c r="Q10" s="13">
        <f>'IR'!Q10+ADT!Q10+TECHN!Q10+'AI'!Q10+'IE'!Q10</f>
        <v>59</v>
      </c>
      <c r="R10" s="21">
        <f t="shared" si="4"/>
        <v>27.441860465116278</v>
      </c>
      <c r="S10" s="11">
        <f>'IR'!S10+ADT!S10+TECHN!S10+'AI'!S10+'IE'!S10</f>
        <v>85</v>
      </c>
      <c r="T10" s="23">
        <f t="shared" si="5"/>
        <v>34.97942386831276</v>
      </c>
      <c r="U10" s="11">
        <f>'IR'!U10+ADT!U10+TECHN!U10+'AI'!U10+'IE'!U10</f>
        <v>56</v>
      </c>
      <c r="V10" s="21">
        <f t="shared" si="6"/>
        <v>26.046511627906977</v>
      </c>
      <c r="W10" s="11">
        <f>'IR'!W10+ADT!W10+TECHN!W10+'AI'!W10+'IE'!W10</f>
        <v>40</v>
      </c>
      <c r="X10" s="52">
        <f t="shared" si="7"/>
        <v>16.46090534979424</v>
      </c>
      <c r="Y10" s="13">
        <f>'IR'!Y10+ADT!Y10+TECHN!Y10+'AI'!Y10+'IE'!Y10</f>
        <v>34</v>
      </c>
      <c r="Z10" s="21">
        <f t="shared" si="8"/>
        <v>15.813953488372093</v>
      </c>
      <c r="AA10" s="11">
        <f>'IR'!AA10+ADT!AA10+TECHN!AA10+'AI'!AA10+'IE'!AA10</f>
        <v>63</v>
      </c>
      <c r="AB10" s="38">
        <f t="shared" si="9"/>
        <v>25.925925925925927</v>
      </c>
    </row>
    <row r="11" spans="1:28" ht="12.75">
      <c r="A11" s="15" t="s">
        <v>16</v>
      </c>
      <c r="B11" s="11">
        <f>'IR'!B11+ADT!B11+TECHN!B11+'AI'!B11+'IE'!B11</f>
        <v>702</v>
      </c>
      <c r="C11" s="34">
        <f>'IR'!C11+ADT!C11+TECHN!C11+'AI'!C11+'IE'!C11</f>
        <v>669</v>
      </c>
      <c r="D11" s="13">
        <f>'IR'!D11+ADT!D11+TECHN!D11+'AI'!D11+'IE'!D11</f>
        <v>491</v>
      </c>
      <c r="E11" s="12">
        <f>'IR'!E11+ADT!E11+TECHN!E11+'AI'!E11+'IE'!E11</f>
        <v>419</v>
      </c>
      <c r="F11" s="42">
        <f>'IR'!F11+ADT!F11+TECHN!F11+'AI'!F11+'IE'!F11</f>
        <v>25</v>
      </c>
      <c r="G11" s="13">
        <f>'IR'!G11+ADT!G11+TECHN!G11+'AI'!G11+'IE'!G11</f>
        <v>466</v>
      </c>
      <c r="H11" s="12">
        <f>'IR'!H11+ADT!H11+TECHN!H11+'AI'!H11+'IE'!H11</f>
        <v>396</v>
      </c>
      <c r="I11" s="61">
        <f>'IR'!I11+ADT!I11+TECHN!I11+'AI'!I11+'IE'!I11</f>
        <v>29</v>
      </c>
      <c r="J11" s="62">
        <f t="shared" si="0"/>
        <v>6.223175965665236</v>
      </c>
      <c r="K11" s="63">
        <f>'IR'!K11+ADT!K11+'AI'!K11+TECHN!K11+'IE'!K11</f>
        <v>35</v>
      </c>
      <c r="L11" s="64">
        <f t="shared" si="1"/>
        <v>8.83838383838384</v>
      </c>
      <c r="M11" s="13">
        <f>'IR'!M11+ADT!M11+TECHN!M11+'AI'!M11+'IE'!M11</f>
        <v>29</v>
      </c>
      <c r="N11" s="21">
        <f t="shared" si="2"/>
        <v>6.223175965665236</v>
      </c>
      <c r="O11" s="11">
        <f>'IR'!O11+ADT!O11+TECHN!O11+'AI'!O11+'IE'!O11</f>
        <v>15</v>
      </c>
      <c r="P11" s="23">
        <f t="shared" si="3"/>
        <v>3.787878787878788</v>
      </c>
      <c r="Q11" s="13">
        <f>'IR'!Q11+ADT!Q11+TECHN!Q11+'AI'!Q11+'IE'!Q11</f>
        <v>10</v>
      </c>
      <c r="R11" s="21">
        <f t="shared" si="4"/>
        <v>2.1459227467811157</v>
      </c>
      <c r="S11" s="11">
        <f>'IR'!S11+ADT!S11+TECHN!S11+'AI'!S11+'IE'!S11</f>
        <v>21</v>
      </c>
      <c r="T11" s="23">
        <f t="shared" si="5"/>
        <v>5.303030303030303</v>
      </c>
      <c r="U11" s="11">
        <f>'IR'!U11+ADT!U11+TECHN!U11+'AI'!U11+'IE'!U11</f>
        <v>367</v>
      </c>
      <c r="V11" s="21">
        <f t="shared" si="6"/>
        <v>78.75536480686695</v>
      </c>
      <c r="W11" s="11">
        <f>'IR'!W11+ADT!W11+TECHN!W11+'AI'!W11+'IE'!W11</f>
        <v>304</v>
      </c>
      <c r="X11" s="52">
        <f t="shared" si="7"/>
        <v>76.76767676767676</v>
      </c>
      <c r="Y11" s="13">
        <f>'IR'!Y11+ADT!Y11+TECHN!Y11+'AI'!Y11+'IE'!Y11</f>
        <v>19</v>
      </c>
      <c r="Z11" s="21">
        <f t="shared" si="8"/>
        <v>4.07725321888412</v>
      </c>
      <c r="AA11" s="11">
        <f>'IR'!AA11+ADT!AA11+TECHN!AA11+'AI'!AA11+'IE'!AA11</f>
        <v>19</v>
      </c>
      <c r="AB11" s="38">
        <f t="shared" si="9"/>
        <v>4.797979797979798</v>
      </c>
    </row>
    <row r="12" spans="1:28" ht="12.75">
      <c r="A12" s="15" t="s">
        <v>17</v>
      </c>
      <c r="B12" s="11">
        <f>'IR'!B12+ADT!B12+TECHN!B12+'AI'!B12+'IE'!B12</f>
        <v>116</v>
      </c>
      <c r="C12" s="34">
        <f>'IR'!C12+ADT!C12+TECHN!C12+'AI'!C12+'IE'!C12</f>
        <v>85</v>
      </c>
      <c r="D12" s="13">
        <f>'IR'!D12+ADT!D12+TECHN!D12+'AI'!D12+'IE'!D12</f>
        <v>61</v>
      </c>
      <c r="E12" s="12">
        <f>'IR'!E12+ADT!E12+TECHN!E12+'AI'!E12+'IE'!E12</f>
        <v>49</v>
      </c>
      <c r="F12" s="42">
        <f>'IR'!F12+ADT!F12+TECHN!F12+'AI'!F12+'IE'!F12</f>
        <v>4</v>
      </c>
      <c r="G12" s="13">
        <f>'IR'!G12+ADT!G12+TECHN!G12+'AI'!G12+'IE'!G12</f>
        <v>57</v>
      </c>
      <c r="H12" s="12">
        <f>'IR'!H12+ADT!H12+TECHN!H12+'AI'!H12+'IE'!H12</f>
        <v>45</v>
      </c>
      <c r="I12" s="61">
        <f>'IR'!I12+ADT!I12+TECHN!I12+'AI'!I12+'IE'!I12</f>
        <v>6</v>
      </c>
      <c r="J12" s="62">
        <f t="shared" si="0"/>
        <v>10.526315789473685</v>
      </c>
      <c r="K12" s="63">
        <f>'IR'!K12+ADT!K12+'AI'!K12+TECHN!K12+'IE'!K12</f>
        <v>4</v>
      </c>
      <c r="L12" s="64">
        <f t="shared" si="1"/>
        <v>8.88888888888889</v>
      </c>
      <c r="M12" s="13">
        <f>'IR'!M12+ADT!M12+TECHN!M12+'AI'!M12+'IE'!M12</f>
        <v>3</v>
      </c>
      <c r="N12" s="21">
        <f t="shared" si="2"/>
        <v>5.2631578947368425</v>
      </c>
      <c r="O12" s="11">
        <f>'IR'!O12+ADT!O12+TECHN!O12+'AI'!O12+'IE'!O12</f>
        <v>3</v>
      </c>
      <c r="P12" s="23">
        <f t="shared" si="3"/>
        <v>6.666666666666667</v>
      </c>
      <c r="Q12" s="13">
        <f>'IR'!Q12+ADT!Q12+TECHN!Q12+'AI'!Q12+'IE'!Q12</f>
        <v>3</v>
      </c>
      <c r="R12" s="21">
        <f t="shared" si="4"/>
        <v>5.2631578947368425</v>
      </c>
      <c r="S12" s="11">
        <f>'IR'!S12+ADT!S12+TECHN!S12+'AI'!S12+'IE'!S12</f>
        <v>6</v>
      </c>
      <c r="T12" s="23">
        <f t="shared" si="5"/>
        <v>13.333333333333334</v>
      </c>
      <c r="U12" s="11">
        <f>'IR'!U12+ADT!U12+TECHN!U12+'AI'!U12+'IE'!U12</f>
        <v>39</v>
      </c>
      <c r="V12" s="21">
        <f t="shared" si="6"/>
        <v>68.42105263157895</v>
      </c>
      <c r="W12" s="11">
        <f>'IR'!W12+ADT!W12+TECHN!W12+'AI'!W12+'IE'!W12</f>
        <v>22</v>
      </c>
      <c r="X12" s="52">
        <f t="shared" si="7"/>
        <v>48.888888888888886</v>
      </c>
      <c r="Y12" s="13">
        <f>'IR'!Y12+ADT!Y12+TECHN!Y12+'AI'!Y12+'IE'!Y12</f>
        <v>6</v>
      </c>
      <c r="Z12" s="21">
        <f t="shared" si="8"/>
        <v>10.526315789473685</v>
      </c>
      <c r="AA12" s="11">
        <f>'IR'!AA12+ADT!AA12+TECHN!AA12+'AI'!AA12+'IE'!AA12</f>
        <v>10</v>
      </c>
      <c r="AB12" s="38">
        <f t="shared" si="9"/>
        <v>22.22222222222222</v>
      </c>
    </row>
    <row r="13" spans="1:28" ht="12.75">
      <c r="A13" s="15" t="s">
        <v>18</v>
      </c>
      <c r="B13" s="11">
        <f>'IR'!B13+ADT!B13+TECHN!B13+'AI'!B13+'IE'!B13</f>
        <v>1449</v>
      </c>
      <c r="C13" s="34">
        <f>'IR'!C13+ADT!C13+TECHN!C13+'AI'!C13+'IE'!C13</f>
        <v>1335</v>
      </c>
      <c r="D13" s="13">
        <f>'IR'!D13+ADT!D13+TECHN!D13+'AI'!D13+'IE'!D13</f>
        <v>601</v>
      </c>
      <c r="E13" s="12">
        <f>'IR'!E13+ADT!E13+TECHN!E13+'AI'!E13+'IE'!E13</f>
        <v>646</v>
      </c>
      <c r="F13" s="42">
        <f>'IR'!F13+ADT!F13+TECHN!F13+'AI'!F13+'IE'!F13</f>
        <v>32</v>
      </c>
      <c r="G13" s="13">
        <f>'IR'!G13+ADT!G13+TECHN!G13+'AI'!G13+'IE'!G13</f>
        <v>569</v>
      </c>
      <c r="H13" s="12">
        <f>'IR'!H13+ADT!H13+TECHN!H13+'AI'!H13+'IE'!H13</f>
        <v>608</v>
      </c>
      <c r="I13" s="61">
        <f>'IR'!I13+ADT!I13+TECHN!I13+'AI'!I13+'IE'!I13</f>
        <v>111</v>
      </c>
      <c r="J13" s="62">
        <f t="shared" si="0"/>
        <v>19.507908611599298</v>
      </c>
      <c r="K13" s="63">
        <f>'IR'!K13+ADT!K13+'AI'!K13+TECHN!K13+'IE'!K13</f>
        <v>127</v>
      </c>
      <c r="L13" s="64">
        <f t="shared" si="1"/>
        <v>20.888157894736842</v>
      </c>
      <c r="M13" s="13">
        <f>'IR'!M13+ADT!M13+TECHN!M13+'AI'!M13+'IE'!M13</f>
        <v>60</v>
      </c>
      <c r="N13" s="21">
        <f t="shared" si="2"/>
        <v>10.54481546572935</v>
      </c>
      <c r="O13" s="11">
        <f>'IR'!O13+ADT!O13+TECHN!O13+'AI'!O13+'IE'!O13</f>
        <v>80</v>
      </c>
      <c r="P13" s="23">
        <f t="shared" si="3"/>
        <v>13.157894736842104</v>
      </c>
      <c r="Q13" s="13">
        <f>'IR'!Q13+ADT!Q13+TECHN!Q13+'AI'!Q13+'IE'!Q13</f>
        <v>83</v>
      </c>
      <c r="R13" s="21">
        <f t="shared" si="4"/>
        <v>14.586994727592268</v>
      </c>
      <c r="S13" s="11">
        <f>'IR'!S13+ADT!S13+TECHN!S13+'AI'!S13+'IE'!S13</f>
        <v>147</v>
      </c>
      <c r="T13" s="23">
        <f t="shared" si="5"/>
        <v>24.17763157894737</v>
      </c>
      <c r="U13" s="11">
        <f>'IR'!U13+ADT!U13+TECHN!U13+'AI'!U13+'IE'!U13</f>
        <v>231</v>
      </c>
      <c r="V13" s="21">
        <f t="shared" si="6"/>
        <v>40.597539543058</v>
      </c>
      <c r="W13" s="11">
        <f>'IR'!W13+ADT!W13+TECHN!W13+'AI'!W13+'IE'!W13</f>
        <v>192</v>
      </c>
      <c r="X13" s="52">
        <f t="shared" si="7"/>
        <v>31.57894736842105</v>
      </c>
      <c r="Y13" s="13">
        <f>'IR'!Y13+ADT!Y13+TECHN!Y13+'AI'!Y13+'IE'!Y13</f>
        <v>60</v>
      </c>
      <c r="Z13" s="21">
        <f t="shared" si="8"/>
        <v>10.54481546572935</v>
      </c>
      <c r="AA13" s="11">
        <f>'IR'!AA13+ADT!AA13+TECHN!AA13+'AI'!AA13+'IE'!AA13</f>
        <v>60</v>
      </c>
      <c r="AB13" s="38">
        <f t="shared" si="9"/>
        <v>9.868421052631579</v>
      </c>
    </row>
    <row r="14" spans="1:28" ht="12.75">
      <c r="A14" s="15" t="s">
        <v>19</v>
      </c>
      <c r="B14" s="11">
        <f>'IR'!B14+ADT!B14+TECHN!B14+'AI'!B14+'IE'!B14</f>
        <v>522</v>
      </c>
      <c r="C14" s="34">
        <f>'IR'!C14+ADT!C14+TECHN!C14+'AI'!C14+'IE'!C14</f>
        <v>509</v>
      </c>
      <c r="D14" s="13">
        <f>'IR'!D14+ADT!D14+TECHN!D14+'AI'!D14+'IE'!D14</f>
        <v>260</v>
      </c>
      <c r="E14" s="12">
        <f>'IR'!E14+ADT!E14+TECHN!E14+'AI'!E14+'IE'!E14</f>
        <v>258</v>
      </c>
      <c r="F14" s="42">
        <f>'IR'!F14+ADT!F14+TECHN!F14+'AI'!F14+'IE'!F14</f>
        <v>10</v>
      </c>
      <c r="G14" s="13">
        <f>'IR'!G14+ADT!G14+TECHN!G14+'AI'!G14+'IE'!G14</f>
        <v>250</v>
      </c>
      <c r="H14" s="12">
        <f>'IR'!H14+ADT!H14+TECHN!H14+'AI'!H14+'IE'!H14</f>
        <v>236</v>
      </c>
      <c r="I14" s="61">
        <f>'IR'!I14+ADT!I14+TECHN!I14+'AI'!I14+'IE'!I14</f>
        <v>19</v>
      </c>
      <c r="J14" s="62">
        <f t="shared" si="0"/>
        <v>7.6</v>
      </c>
      <c r="K14" s="63">
        <f>'IR'!K14+ADT!K14+'AI'!K14+TECHN!K14+'IE'!K14</f>
        <v>22</v>
      </c>
      <c r="L14" s="64">
        <f t="shared" si="1"/>
        <v>9.322033898305085</v>
      </c>
      <c r="M14" s="13">
        <f>'IR'!M14+ADT!M14+TECHN!M14+'AI'!M14+'IE'!M14</f>
        <v>17</v>
      </c>
      <c r="N14" s="21">
        <f t="shared" si="2"/>
        <v>6.8</v>
      </c>
      <c r="O14" s="11">
        <f>'IR'!O14+ADT!O14+TECHN!O14+'AI'!O14+'IE'!O14</f>
        <v>25</v>
      </c>
      <c r="P14" s="23">
        <f t="shared" si="3"/>
        <v>10.59322033898305</v>
      </c>
      <c r="Q14" s="13">
        <f>'IR'!Q14+ADT!Q14+TECHN!Q14+'AI'!Q14+'IE'!Q14</f>
        <v>22</v>
      </c>
      <c r="R14" s="21">
        <f t="shared" si="4"/>
        <v>8.8</v>
      </c>
      <c r="S14" s="11">
        <f>'IR'!S14+ADT!S14+TECHN!S14+'AI'!S14+'IE'!S14</f>
        <v>30</v>
      </c>
      <c r="T14" s="23">
        <f t="shared" si="5"/>
        <v>12.711864406779661</v>
      </c>
      <c r="U14" s="11">
        <f>'IR'!U14+ADT!U14+TECHN!U14+'AI'!U14+'IE'!U14</f>
        <v>87</v>
      </c>
      <c r="V14" s="21">
        <f t="shared" si="6"/>
        <v>34.8</v>
      </c>
      <c r="W14" s="11">
        <f>'IR'!W14+ADT!W14+TECHN!W14+'AI'!W14+'IE'!W14</f>
        <v>79</v>
      </c>
      <c r="X14" s="52">
        <f t="shared" si="7"/>
        <v>33.47457627118644</v>
      </c>
      <c r="Y14" s="13">
        <f>'IR'!Y14+ADT!Y14+TECHN!Y14+'AI'!Y14+'IE'!Y14</f>
        <v>100</v>
      </c>
      <c r="Z14" s="21">
        <f t="shared" si="8"/>
        <v>40</v>
      </c>
      <c r="AA14" s="11">
        <f>'IR'!AA14+ADT!AA14+TECHN!AA14+'AI'!AA14+'IE'!AA14</f>
        <v>80</v>
      </c>
      <c r="AB14" s="38">
        <f t="shared" si="9"/>
        <v>33.898305084745765</v>
      </c>
    </row>
    <row r="15" spans="1:28" ht="12.75">
      <c r="A15" s="15" t="s">
        <v>20</v>
      </c>
      <c r="B15" s="11">
        <f>'IR'!B15+ADT!B15+TECHN!B15+'AI'!B15+'IE'!B15</f>
        <v>1518</v>
      </c>
      <c r="C15" s="34">
        <f>'IR'!C15+ADT!C15+TECHN!C15+'AI'!C15+'IE'!C15</f>
        <v>1481</v>
      </c>
      <c r="D15" s="13">
        <f>'IR'!D15+ADT!D15+TECHN!D15+'AI'!D15+'IE'!D15</f>
        <v>941</v>
      </c>
      <c r="E15" s="12">
        <f>'IR'!E15+ADT!E15+TECHN!E15+'AI'!E15+'IE'!E15</f>
        <v>811</v>
      </c>
      <c r="F15" s="42">
        <f>'IR'!F15+ADT!F15+TECHN!F15+'AI'!F15+'IE'!F15</f>
        <v>53</v>
      </c>
      <c r="G15" s="13">
        <f>'IR'!G15+ADT!G15+TECHN!G15+'AI'!G15+'IE'!G15</f>
        <v>888</v>
      </c>
      <c r="H15" s="12">
        <f>'IR'!H15+ADT!H15+TECHN!H15+'AI'!H15+'IE'!H15</f>
        <v>756</v>
      </c>
      <c r="I15" s="61">
        <f>'IR'!I15+ADT!I15+TECHN!I15+'AI'!I15+'IE'!I15</f>
        <v>220</v>
      </c>
      <c r="J15" s="62">
        <f t="shared" si="0"/>
        <v>24.774774774774773</v>
      </c>
      <c r="K15" s="63">
        <f>'IR'!K15+ADT!K15+'AI'!K15+TECHN!K15+'IE'!K15</f>
        <v>190</v>
      </c>
      <c r="L15" s="64">
        <f t="shared" si="1"/>
        <v>25.132275132275133</v>
      </c>
      <c r="M15" s="13">
        <f>'IR'!M15+ADT!M15+TECHN!M15+'AI'!M15+'IE'!M15</f>
        <v>58</v>
      </c>
      <c r="N15" s="21">
        <f t="shared" si="2"/>
        <v>6.531531531531532</v>
      </c>
      <c r="O15" s="11">
        <f>'IR'!O15+ADT!O15+TECHN!O15+'AI'!O15+'IE'!O15</f>
        <v>73</v>
      </c>
      <c r="P15" s="23">
        <f t="shared" si="3"/>
        <v>9.656084656084657</v>
      </c>
      <c r="Q15" s="13">
        <f>'IR'!Q15+ADT!Q15+TECHN!Q15+'AI'!Q15+'IE'!Q15</f>
        <v>116</v>
      </c>
      <c r="R15" s="21">
        <f t="shared" si="4"/>
        <v>13.063063063063064</v>
      </c>
      <c r="S15" s="11">
        <f>'IR'!S15+ADT!S15+TECHN!S15+'AI'!S15+'IE'!S15</f>
        <v>101</v>
      </c>
      <c r="T15" s="23">
        <f t="shared" si="5"/>
        <v>13.359788359788359</v>
      </c>
      <c r="U15" s="11">
        <f>'IR'!U15+ADT!U15+TECHN!U15+'AI'!U15+'IE'!U15</f>
        <v>453</v>
      </c>
      <c r="V15" s="21">
        <f t="shared" si="6"/>
        <v>51.013513513513516</v>
      </c>
      <c r="W15" s="11">
        <f>'IR'!W15+ADT!W15+TECHN!W15+'AI'!W15+'IE'!W15</f>
        <v>352</v>
      </c>
      <c r="X15" s="52">
        <f t="shared" si="7"/>
        <v>46.560846560846564</v>
      </c>
      <c r="Y15" s="13">
        <f>'IR'!Y15+ADT!Y15+TECHN!Y15+'AI'!Y15+'IE'!Y15</f>
        <v>22</v>
      </c>
      <c r="Z15" s="21">
        <f t="shared" si="8"/>
        <v>2.4774774774774775</v>
      </c>
      <c r="AA15" s="11">
        <f>'IR'!AA15+ADT!AA15+TECHN!AA15+'AI'!AA15+'IE'!AA15</f>
        <v>38</v>
      </c>
      <c r="AB15" s="38">
        <f t="shared" si="9"/>
        <v>5.026455026455026</v>
      </c>
    </row>
    <row r="16" spans="1:28" ht="12.75">
      <c r="A16" s="15" t="s">
        <v>21</v>
      </c>
      <c r="B16" s="11">
        <f>'IR'!B16+ADT!B16+TECHN!B16+'AI'!B16+'IE'!B16</f>
        <v>2186</v>
      </c>
      <c r="C16" s="34">
        <f>'IR'!C16+ADT!C16+TECHN!C16+'AI'!C16+'IE'!C16</f>
        <v>2058</v>
      </c>
      <c r="D16" s="13">
        <f>'IR'!D16+ADT!D16+TECHN!D16+'AI'!D16+'IE'!D16</f>
        <v>1035</v>
      </c>
      <c r="E16" s="12">
        <f>'IR'!E16+ADT!E16+TECHN!E16+'AI'!E16+'IE'!E16</f>
        <v>1116</v>
      </c>
      <c r="F16" s="42">
        <f>'IR'!F16+ADT!F16+TECHN!F16+'AI'!F16+'IE'!F16</f>
        <v>48</v>
      </c>
      <c r="G16" s="13">
        <f>'IR'!G16+ADT!G16+TECHN!G16+'AI'!G16+'IE'!G16</f>
        <v>987</v>
      </c>
      <c r="H16" s="12">
        <f>'IR'!H16+ADT!H16+TECHN!H16+'AI'!H16+'IE'!H16</f>
        <v>1058</v>
      </c>
      <c r="I16" s="61">
        <f>'IR'!I16+ADT!I16+TECHN!I16+'AI'!I16+'IE'!I16</f>
        <v>208</v>
      </c>
      <c r="J16" s="62">
        <f t="shared" si="0"/>
        <v>21.073961499493414</v>
      </c>
      <c r="K16" s="63">
        <f>'IR'!K16+ADT!K16+'AI'!K16+TECHN!K16+'IE'!K16</f>
        <v>353</v>
      </c>
      <c r="L16" s="64">
        <f t="shared" si="1"/>
        <v>33.3648393194707</v>
      </c>
      <c r="M16" s="13">
        <f>'IR'!M16+ADT!M16+TECHN!M16+'AI'!M16+'IE'!M16</f>
        <v>71</v>
      </c>
      <c r="N16" s="21">
        <f t="shared" si="2"/>
        <v>7.193515704154002</v>
      </c>
      <c r="O16" s="11">
        <f>'IR'!O16+ADT!O16+TECHN!O16+'AI'!O16+'IE'!O16</f>
        <v>91</v>
      </c>
      <c r="P16" s="23">
        <f t="shared" si="3"/>
        <v>8.601134215500945</v>
      </c>
      <c r="Q16" s="13">
        <f>'IR'!Q16+ADT!Q16+TECHN!Q16+'AI'!Q16+'IE'!Q16</f>
        <v>104</v>
      </c>
      <c r="R16" s="21">
        <f t="shared" si="4"/>
        <v>10.536980749746707</v>
      </c>
      <c r="S16" s="11">
        <f>'IR'!S16+ADT!S16+TECHN!S16+'AI'!S16+'IE'!S16</f>
        <v>94</v>
      </c>
      <c r="T16" s="23">
        <f t="shared" si="5"/>
        <v>8.88468809073724</v>
      </c>
      <c r="U16" s="11">
        <f>'IR'!U16+ADT!U16+TECHN!U16+'AI'!U16+'IE'!U16</f>
        <v>513</v>
      </c>
      <c r="V16" s="21">
        <f t="shared" si="6"/>
        <v>51.97568389057751</v>
      </c>
      <c r="W16" s="11">
        <f>'IR'!W16+ADT!W16+TECHN!W16+'AI'!W16+'IE'!W16</f>
        <v>426</v>
      </c>
      <c r="X16" s="52">
        <f t="shared" si="7"/>
        <v>40.26465028355388</v>
      </c>
      <c r="Y16" s="13">
        <f>'IR'!Y16+ADT!Y16+TECHN!Y16+'AI'!Y16+'IE'!Y16</f>
        <v>74</v>
      </c>
      <c r="Z16" s="21">
        <f t="shared" si="8"/>
        <v>7.497467071935157</v>
      </c>
      <c r="AA16" s="11">
        <f>'IR'!AA16+ADT!AA16+TECHN!AA16+'AI'!AA16+'IE'!AA16</f>
        <v>94</v>
      </c>
      <c r="AB16" s="38">
        <f t="shared" si="9"/>
        <v>8.88468809073724</v>
      </c>
    </row>
    <row r="17" spans="1:28" ht="12.75">
      <c r="A17" s="15" t="s">
        <v>22</v>
      </c>
      <c r="B17" s="11">
        <f>'IR'!B17+ADT!B17+TECHN!B17+'AI'!B17+'IE'!B17</f>
        <v>321</v>
      </c>
      <c r="C17" s="34">
        <f>'IR'!C17+ADT!C17+TECHN!C17+'AI'!C17+'IE'!C17</f>
        <v>315</v>
      </c>
      <c r="D17" s="13">
        <f>'IR'!D17+ADT!D17+TECHN!D17+'AI'!D17+'IE'!D17</f>
        <v>215</v>
      </c>
      <c r="E17" s="12">
        <f>'IR'!E17+ADT!E17+TECHN!E17+'AI'!E17+'IE'!E17</f>
        <v>179</v>
      </c>
      <c r="F17" s="42">
        <f>'IR'!F17+ADT!F17+TECHN!F17+'AI'!F17+'IE'!F17</f>
        <v>10</v>
      </c>
      <c r="G17" s="13">
        <f>'IR'!G17+ADT!G17+TECHN!G17+'AI'!G17+'IE'!G17</f>
        <v>205</v>
      </c>
      <c r="H17" s="12">
        <f>'IR'!H17+ADT!H17+TECHN!H17+'AI'!H17+'IE'!H17</f>
        <v>170</v>
      </c>
      <c r="I17" s="61">
        <f>'IR'!I17+ADT!I17+TECHN!I17+'AI'!I17+'IE'!I17</f>
        <v>16</v>
      </c>
      <c r="J17" s="62">
        <f t="shared" si="0"/>
        <v>7.804878048780488</v>
      </c>
      <c r="K17" s="63">
        <f>'IR'!K17+ADT!K17+'AI'!K17+TECHN!K17+'IE'!K17</f>
        <v>9</v>
      </c>
      <c r="L17" s="64">
        <f t="shared" si="1"/>
        <v>5.294117647058823</v>
      </c>
      <c r="M17" s="13">
        <f>'IR'!M17+ADT!M17+TECHN!M17+'AI'!M17+'IE'!M17</f>
        <v>5</v>
      </c>
      <c r="N17" s="21">
        <f t="shared" si="2"/>
        <v>2.4390243902439024</v>
      </c>
      <c r="O17" s="11">
        <f>'IR'!O17+ADT!O17+TECHN!O17+'AI'!O17+'IE'!O17</f>
        <v>9</v>
      </c>
      <c r="P17" s="23">
        <f t="shared" si="3"/>
        <v>5.294117647058823</v>
      </c>
      <c r="Q17" s="13">
        <f>'IR'!Q17+ADT!Q17+TECHN!Q17+'AI'!Q17+'IE'!Q17</f>
        <v>30</v>
      </c>
      <c r="R17" s="21">
        <f t="shared" si="4"/>
        <v>14.634146341463415</v>
      </c>
      <c r="S17" s="11">
        <f>'IR'!S17+ADT!S17+TECHN!S17+'AI'!S17+'IE'!S17</f>
        <v>23</v>
      </c>
      <c r="T17" s="23">
        <f t="shared" si="5"/>
        <v>13.529411764705882</v>
      </c>
      <c r="U17" s="11">
        <f>'IR'!U17+ADT!U17+TECHN!U17+'AI'!U17+'IE'!U17</f>
        <v>132</v>
      </c>
      <c r="V17" s="21">
        <f t="shared" si="6"/>
        <v>64.39024390243902</v>
      </c>
      <c r="W17" s="11">
        <f>'IR'!W17+ADT!W17+TECHN!W17+'AI'!W17+'IE'!W17</f>
        <v>116</v>
      </c>
      <c r="X17" s="52">
        <f t="shared" si="7"/>
        <v>68.23529411764706</v>
      </c>
      <c r="Y17" s="13">
        <f>'IR'!Y17+ADT!Y17+TECHN!Y17+'AI'!Y17+'IE'!Y17</f>
        <v>16</v>
      </c>
      <c r="Z17" s="21">
        <f t="shared" si="8"/>
        <v>7.804878048780488</v>
      </c>
      <c r="AA17" s="11">
        <f>'IR'!AA17+ADT!AA17+TECHN!AA17+'AI'!AA17+'IE'!AA17</f>
        <v>13</v>
      </c>
      <c r="AB17" s="38">
        <f t="shared" si="9"/>
        <v>7.647058823529412</v>
      </c>
    </row>
    <row r="18" spans="1:28" ht="12.75">
      <c r="A18" s="15" t="s">
        <v>23</v>
      </c>
      <c r="B18" s="11">
        <f>'IR'!B18+ADT!B18+TECHN!B18+'AI'!B18+'IE'!B18</f>
        <v>2408</v>
      </c>
      <c r="C18" s="34">
        <f>'IR'!C18+ADT!C18+TECHN!C18+'AI'!C18+'IE'!C18</f>
        <v>2254</v>
      </c>
      <c r="D18" s="13">
        <f>'IR'!D18+ADT!D18+TECHN!D18+'AI'!D18+'IE'!D18</f>
        <v>1195</v>
      </c>
      <c r="E18" s="12">
        <f>'IR'!E18+ADT!E18+TECHN!E18+'AI'!E18+'IE'!E18</f>
        <v>1219</v>
      </c>
      <c r="F18" s="42">
        <f>'IR'!F18+ADT!F18+TECHN!F18+'AI'!F18+'IE'!F18</f>
        <v>61</v>
      </c>
      <c r="G18" s="13">
        <f>'IR'!G18+ADT!G18+TECHN!G18+'AI'!G18+'IE'!G18</f>
        <v>1134</v>
      </c>
      <c r="H18" s="12">
        <f>'IR'!H18+ADT!H18+TECHN!H18+'AI'!H18+'IE'!H18</f>
        <v>1179</v>
      </c>
      <c r="I18" s="61">
        <f>'IR'!I18+ADT!I18+TECHN!I18+'AI'!I18+'IE'!I18</f>
        <v>238</v>
      </c>
      <c r="J18" s="62">
        <f t="shared" si="0"/>
        <v>20.987654320987655</v>
      </c>
      <c r="K18" s="63">
        <f>'IR'!K18+ADT!K18+'AI'!K18+TECHN!K18+'IE'!K18</f>
        <v>236</v>
      </c>
      <c r="L18" s="64">
        <f t="shared" si="1"/>
        <v>20.01696352841391</v>
      </c>
      <c r="M18" s="13">
        <f>'IR'!M18+ADT!M18+TECHN!M18+'AI'!M18+'IE'!M18</f>
        <v>49</v>
      </c>
      <c r="N18" s="21">
        <f t="shared" si="2"/>
        <v>4.320987654320987</v>
      </c>
      <c r="O18" s="11">
        <f>'IR'!O18+ADT!O18+TECHN!O18+'AI'!O18+'IE'!O18</f>
        <v>70</v>
      </c>
      <c r="P18" s="23">
        <f t="shared" si="3"/>
        <v>5.937234944868533</v>
      </c>
      <c r="Q18" s="13">
        <f>'IR'!Q18+ADT!Q18+TECHN!Q18+'AI'!Q18+'IE'!Q18</f>
        <v>123</v>
      </c>
      <c r="R18" s="21">
        <f t="shared" si="4"/>
        <v>10.846560846560847</v>
      </c>
      <c r="S18" s="11">
        <f>'IR'!S18+ADT!S18+TECHN!S18+'AI'!S18+'IE'!S18</f>
        <v>110</v>
      </c>
      <c r="T18" s="23">
        <f t="shared" si="5"/>
        <v>9.32994062765055</v>
      </c>
      <c r="U18" s="11">
        <f>'IR'!U18+ADT!U18+TECHN!U18+'AI'!U18+'IE'!U18</f>
        <v>477</v>
      </c>
      <c r="V18" s="21">
        <f t="shared" si="6"/>
        <v>42.06349206349206</v>
      </c>
      <c r="W18" s="11">
        <f>'IR'!W18+ADT!W18+TECHN!W18+'AI'!W18+'IE'!W18</f>
        <v>553</v>
      </c>
      <c r="X18" s="52">
        <f t="shared" si="7"/>
        <v>46.90415606446141</v>
      </c>
      <c r="Y18" s="13">
        <f>'IR'!Y18+ADT!Y18+TECHN!Y18+'AI'!Y18+'IE'!Y18</f>
        <v>227</v>
      </c>
      <c r="Z18" s="21">
        <f t="shared" si="8"/>
        <v>20.01763668430335</v>
      </c>
      <c r="AA18" s="11">
        <f>'IR'!AA18+ADT!AA18+TECHN!AA18+'AI'!AA18+'IE'!AA18</f>
        <v>207</v>
      </c>
      <c r="AB18" s="38">
        <f t="shared" si="9"/>
        <v>17.557251908396946</v>
      </c>
    </row>
    <row r="19" spans="1:28" ht="12.75">
      <c r="A19" s="15" t="s">
        <v>24</v>
      </c>
      <c r="B19" s="11">
        <f>'IR'!B19+ADT!B19+TECHN!B19+'AI'!B19+'IE'!B19</f>
        <v>1517</v>
      </c>
      <c r="C19" s="34">
        <f>'IR'!C19+ADT!C19+TECHN!C19+'AI'!C19+'IE'!C19</f>
        <v>1343</v>
      </c>
      <c r="D19" s="13">
        <f>'IR'!D19+ADT!D19+TECHN!D19+'AI'!D19+'IE'!D19</f>
        <v>911</v>
      </c>
      <c r="E19" s="12">
        <f>'IR'!E19+ADT!E19+TECHN!E19+'AI'!E19+'IE'!E19</f>
        <v>816</v>
      </c>
      <c r="F19" s="42">
        <f>'IR'!F19+ADT!F19+TECHN!F19+'AI'!F19+'IE'!F19</f>
        <v>62</v>
      </c>
      <c r="G19" s="13">
        <f>'IR'!G19+ADT!G19+TECHN!G19+'AI'!G19+'IE'!G19</f>
        <v>849</v>
      </c>
      <c r="H19" s="12">
        <f>'IR'!H19+ADT!H19+TECHN!H19+'AI'!H19+'IE'!H19</f>
        <v>724</v>
      </c>
      <c r="I19" s="61">
        <f>'IR'!I19+ADT!I19+TECHN!I19+'AI'!I19+'IE'!I19</f>
        <v>180</v>
      </c>
      <c r="J19" s="62">
        <f t="shared" si="0"/>
        <v>21.20141342756184</v>
      </c>
      <c r="K19" s="63">
        <f>'IR'!K19+ADT!K19+'AI'!K19+TECHN!K19+'IE'!K19</f>
        <v>142</v>
      </c>
      <c r="L19" s="64">
        <f t="shared" si="1"/>
        <v>19.613259668508288</v>
      </c>
      <c r="M19" s="13">
        <f>'IR'!M19+ADT!M19+TECHN!M19+'AI'!M19+'IE'!M19</f>
        <v>17</v>
      </c>
      <c r="N19" s="21">
        <f t="shared" si="2"/>
        <v>2.0023557126030624</v>
      </c>
      <c r="O19" s="11">
        <f>'IR'!O19+ADT!O19+TECHN!O19+'AI'!O19+'IE'!O19</f>
        <v>14</v>
      </c>
      <c r="P19" s="23">
        <f t="shared" si="3"/>
        <v>1.9337016574585635</v>
      </c>
      <c r="Q19" s="13">
        <f>'IR'!Q19+ADT!Q19+TECHN!Q19+'AI'!Q19+'IE'!Q19</f>
        <v>43</v>
      </c>
      <c r="R19" s="21">
        <f t="shared" si="4"/>
        <v>5.064782096584216</v>
      </c>
      <c r="S19" s="11">
        <f>'IR'!S19+ADT!S19+TECHN!S19+'AI'!S19+'IE'!S19</f>
        <v>51</v>
      </c>
      <c r="T19" s="23">
        <f t="shared" si="5"/>
        <v>7.044198895027624</v>
      </c>
      <c r="U19" s="11">
        <f>'IR'!U19+ADT!U19+TECHN!U19+'AI'!U19+'IE'!U19</f>
        <v>533</v>
      </c>
      <c r="V19" s="21">
        <f t="shared" si="6"/>
        <v>62.77974087161366</v>
      </c>
      <c r="W19" s="11">
        <f>'IR'!W19+ADT!W19+TECHN!W19+'AI'!W19+'IE'!W19</f>
        <v>487</v>
      </c>
      <c r="X19" s="52">
        <f t="shared" si="7"/>
        <v>67.26519337016575</v>
      </c>
      <c r="Y19" s="13">
        <f>'IR'!Y19+ADT!Y19+TECHN!Y19+'AI'!Y19+'IE'!Y19</f>
        <v>32</v>
      </c>
      <c r="Z19" s="21">
        <f t="shared" si="8"/>
        <v>3.7691401648998824</v>
      </c>
      <c r="AA19" s="11">
        <f>'IR'!AA19+ADT!AA19+TECHN!AA19+'AI'!AA19+'IE'!AA19</f>
        <v>28</v>
      </c>
      <c r="AB19" s="38">
        <f t="shared" si="9"/>
        <v>3.867403314917127</v>
      </c>
    </row>
    <row r="20" spans="1:28" ht="12.75">
      <c r="A20" s="15" t="s">
        <v>25</v>
      </c>
      <c r="B20" s="11">
        <f>'IR'!B20+ADT!B20+TECHN!B20+'AI'!B20+'IE'!B20</f>
        <v>1473</v>
      </c>
      <c r="C20" s="34">
        <f>'IR'!C20+ADT!C20+TECHN!C20+'AI'!C20+'IE'!C20</f>
        <v>1404</v>
      </c>
      <c r="D20" s="13">
        <f>'IR'!D20+ADT!D20+TECHN!D20+'AI'!D20+'IE'!D20</f>
        <v>862</v>
      </c>
      <c r="E20" s="12">
        <f>'IR'!E20+ADT!E20+TECHN!E20+'AI'!E20+'IE'!E20</f>
        <v>780</v>
      </c>
      <c r="F20" s="42">
        <f>'IR'!F20+ADT!F20+TECHN!F20+'AI'!F20+'IE'!F20</f>
        <v>175</v>
      </c>
      <c r="G20" s="13">
        <f>'IR'!G20+ADT!G20+TECHN!G20+'AI'!G20+'IE'!G20</f>
        <v>687</v>
      </c>
      <c r="H20" s="12">
        <f>'IR'!H20+ADT!H20+TECHN!H20+'AI'!H20+'IE'!H20</f>
        <v>689</v>
      </c>
      <c r="I20" s="61">
        <f>'IR'!I20+ADT!I20+TECHN!I20+'AI'!I20+'IE'!I20</f>
        <v>43</v>
      </c>
      <c r="J20" s="62">
        <f t="shared" si="0"/>
        <v>6.259097525473071</v>
      </c>
      <c r="K20" s="63">
        <f>'IR'!K20+ADT!K20+'AI'!K20+TECHN!K20+'IE'!K20</f>
        <v>65</v>
      </c>
      <c r="L20" s="64">
        <f t="shared" si="1"/>
        <v>9.433962264150944</v>
      </c>
      <c r="M20" s="13">
        <f>'IR'!M20+ADT!M20+TECHN!M20+'AI'!M20+'IE'!M20</f>
        <v>58</v>
      </c>
      <c r="N20" s="21">
        <f t="shared" si="2"/>
        <v>8.442503639010189</v>
      </c>
      <c r="O20" s="11">
        <f>'IR'!O20+ADT!O20+TECHN!O20+'AI'!O20+'IE'!O20</f>
        <v>57</v>
      </c>
      <c r="P20" s="23">
        <f t="shared" si="3"/>
        <v>8.272859216255442</v>
      </c>
      <c r="Q20" s="13">
        <f>'IR'!Q20+ADT!Q20+TECHN!Q20+'AI'!Q20+'IE'!Q20</f>
        <v>57</v>
      </c>
      <c r="R20" s="21">
        <f t="shared" si="4"/>
        <v>8.296943231441048</v>
      </c>
      <c r="S20" s="11">
        <f>'IR'!S20+ADT!S20+TECHN!S20+'AI'!S20+'IE'!S20</f>
        <v>68</v>
      </c>
      <c r="T20" s="23">
        <f t="shared" si="5"/>
        <v>9.869375907111756</v>
      </c>
      <c r="U20" s="11">
        <f>'IR'!U20+ADT!U20+TECHN!U20+'AI'!U20+'IE'!U20</f>
        <v>478</v>
      </c>
      <c r="V20" s="21">
        <f t="shared" si="6"/>
        <v>69.5778748180495</v>
      </c>
      <c r="W20" s="11">
        <f>'IR'!W20+ADT!W20+TECHN!W20+'AI'!W20+'IE'!W20</f>
        <v>428</v>
      </c>
      <c r="X20" s="52">
        <f t="shared" si="7"/>
        <v>62.11901306240929</v>
      </c>
      <c r="Y20" s="13">
        <f>'IR'!Y20+ADT!Y20+TECHN!Y20+'AI'!Y20+'IE'!Y20</f>
        <v>44</v>
      </c>
      <c r="Z20" s="21">
        <f t="shared" si="8"/>
        <v>6.404657933042213</v>
      </c>
      <c r="AA20" s="11">
        <f>'IR'!AA20+ADT!AA20+TECHN!AA20+'AI'!AA20+'IE'!AA20</f>
        <v>71</v>
      </c>
      <c r="AB20" s="38">
        <f t="shared" si="9"/>
        <v>10.304789550072568</v>
      </c>
    </row>
    <row r="21" spans="1:28" ht="12.75">
      <c r="A21" s="15" t="s">
        <v>26</v>
      </c>
      <c r="B21" s="11">
        <f>'IR'!B21+ADT!B21+TECHN!B21+'AI'!B21+'IE'!B21</f>
        <v>1256</v>
      </c>
      <c r="C21" s="34">
        <f>'IR'!C21+ADT!C21+TECHN!C21+'AI'!C21+'IE'!C21</f>
        <v>1141</v>
      </c>
      <c r="D21" s="13">
        <f>'IR'!D21+ADT!D21+TECHN!D21+'AI'!D21+'IE'!D21</f>
        <v>789</v>
      </c>
      <c r="E21" s="12">
        <f>'IR'!E21+ADT!E21+TECHN!E21+'AI'!E21+'IE'!E21</f>
        <v>752</v>
      </c>
      <c r="F21" s="42">
        <f>'IR'!F21+ADT!F21+TECHN!F21+'AI'!F21+'IE'!F21</f>
        <v>29</v>
      </c>
      <c r="G21" s="13">
        <f>'IR'!G21+ADT!G21+TECHN!G21+'AI'!G21+'IE'!G21</f>
        <v>760</v>
      </c>
      <c r="H21" s="12">
        <f>'IR'!H21+ADT!H21+TECHN!H21+'AI'!H21+'IE'!H21</f>
        <v>703</v>
      </c>
      <c r="I21" s="61">
        <f>'IR'!I21+ADT!I21+TECHN!I21+'AI'!I21+'IE'!I21</f>
        <v>82</v>
      </c>
      <c r="J21" s="62">
        <f t="shared" si="0"/>
        <v>10.789473684210526</v>
      </c>
      <c r="K21" s="63">
        <f>'IR'!K21+ADT!K21+'AI'!K21+TECHN!K21+'IE'!K21</f>
        <v>110</v>
      </c>
      <c r="L21" s="64">
        <f t="shared" si="1"/>
        <v>15.647226173541963</v>
      </c>
      <c r="M21" s="13">
        <f>'IR'!M21+ADT!M21+TECHN!M21+'AI'!M21+'IE'!M21</f>
        <v>135</v>
      </c>
      <c r="N21" s="21">
        <f t="shared" si="2"/>
        <v>17.763157894736842</v>
      </c>
      <c r="O21" s="11">
        <f>'IR'!O21+ADT!O21+TECHN!O21+'AI'!O21+'IE'!O21</f>
        <v>103</v>
      </c>
      <c r="P21" s="23">
        <f t="shared" si="3"/>
        <v>14.65149359886202</v>
      </c>
      <c r="Q21" s="13">
        <f>'IR'!Q21+ADT!Q21+TECHN!Q21+'AI'!Q21+'IE'!Q21</f>
        <v>97</v>
      </c>
      <c r="R21" s="21">
        <f t="shared" si="4"/>
        <v>12.763157894736842</v>
      </c>
      <c r="S21" s="11">
        <f>'IR'!S21+ADT!S21+TECHN!S21+'AI'!S21+'IE'!S21</f>
        <v>76</v>
      </c>
      <c r="T21" s="23">
        <f t="shared" si="5"/>
        <v>10.81081081081081</v>
      </c>
      <c r="U21" s="11">
        <f>'IR'!U21+ADT!U21+TECHN!U21+'AI'!U21+'IE'!U21</f>
        <v>375</v>
      </c>
      <c r="V21" s="21">
        <f t="shared" si="6"/>
        <v>49.3421052631579</v>
      </c>
      <c r="W21" s="11">
        <f>'IR'!W21+ADT!W21+TECHN!W21+'AI'!W21+'IE'!W21</f>
        <v>387</v>
      </c>
      <c r="X21" s="52">
        <f t="shared" si="7"/>
        <v>55.049786628734</v>
      </c>
      <c r="Y21" s="13">
        <f>'IR'!Y21+ADT!Y21+TECHN!Y21+'AI'!Y21+'IE'!Y21</f>
        <v>51</v>
      </c>
      <c r="Z21" s="21">
        <f t="shared" si="8"/>
        <v>6.7105263157894735</v>
      </c>
      <c r="AA21" s="11">
        <f>'IR'!AA21+ADT!AA21+TECHN!AA21+'AI'!AA21+'IE'!AA21</f>
        <v>24</v>
      </c>
      <c r="AB21" s="38">
        <f t="shared" si="9"/>
        <v>3.413940256045519</v>
      </c>
    </row>
    <row r="22" spans="1:28" ht="12.75">
      <c r="A22" s="15" t="s">
        <v>27</v>
      </c>
      <c r="B22" s="11">
        <f>'IR'!B22+ADT!B22+TECHN!B22+'AI'!B22+'IE'!B22</f>
        <v>749</v>
      </c>
      <c r="C22" s="34">
        <f>'IR'!C22+ADT!C22+TECHN!C22+'AI'!C22+'IE'!C22</f>
        <v>710</v>
      </c>
      <c r="D22" s="13">
        <f>'IR'!D22+ADT!D22+TECHN!D22+'AI'!D22+'IE'!D22</f>
        <v>484</v>
      </c>
      <c r="E22" s="12">
        <f>'IR'!E22+ADT!E22+TECHN!E22+'AI'!E22+'IE'!E22</f>
        <v>438</v>
      </c>
      <c r="F22" s="42">
        <f>'IR'!F22+ADT!F22+TECHN!F22+'AI'!F22+'IE'!F22</f>
        <v>27</v>
      </c>
      <c r="G22" s="13">
        <f>'IR'!G22+ADT!G22+TECHN!G22+'AI'!G22+'IE'!G22</f>
        <v>457</v>
      </c>
      <c r="H22" s="12">
        <f>'IR'!H22+ADT!H22+TECHN!H22+'AI'!H22+'IE'!H22</f>
        <v>401</v>
      </c>
      <c r="I22" s="61">
        <f>'IR'!I22+ADT!I22+TECHN!I22+'AI'!I22+'IE'!I22</f>
        <v>61</v>
      </c>
      <c r="J22" s="62">
        <f t="shared" si="0"/>
        <v>13.347921225382931</v>
      </c>
      <c r="K22" s="63">
        <f>'IR'!K22+ADT!K22+'AI'!K22+TECHN!K22+'IE'!K22</f>
        <v>51</v>
      </c>
      <c r="L22" s="64">
        <f t="shared" si="1"/>
        <v>12.718204488778055</v>
      </c>
      <c r="M22" s="13">
        <f>'IR'!M22+ADT!M22+TECHN!M22+'AI'!M22+'IE'!M22</f>
        <v>13</v>
      </c>
      <c r="N22" s="21">
        <f t="shared" si="2"/>
        <v>2.8446389496717726</v>
      </c>
      <c r="O22" s="11">
        <f>'IR'!O22+ADT!O22+TECHN!O22+'AI'!O22+'IE'!O22</f>
        <v>18</v>
      </c>
      <c r="P22" s="23">
        <f t="shared" si="3"/>
        <v>4.488778054862843</v>
      </c>
      <c r="Q22" s="13">
        <f>'IR'!Q22+ADT!Q22+TECHN!Q22+'AI'!Q22+'IE'!Q22</f>
        <v>20</v>
      </c>
      <c r="R22" s="21">
        <f t="shared" si="4"/>
        <v>4.3763676148796495</v>
      </c>
      <c r="S22" s="11">
        <f>'IR'!S22+ADT!S22+TECHN!S22+'AI'!S22+'IE'!S22</f>
        <v>22</v>
      </c>
      <c r="T22" s="23">
        <f t="shared" si="5"/>
        <v>5.486284289276808</v>
      </c>
      <c r="U22" s="11">
        <f>'IR'!U22+ADT!U22+TECHN!U22+'AI'!U22+'IE'!U22</f>
        <v>338</v>
      </c>
      <c r="V22" s="21">
        <f t="shared" si="6"/>
        <v>73.96061269146608</v>
      </c>
      <c r="W22" s="11">
        <f>'IR'!W22+ADT!W22+TECHN!W22+'AI'!W22+'IE'!W22</f>
        <v>276</v>
      </c>
      <c r="X22" s="52">
        <f t="shared" si="7"/>
        <v>68.82793017456359</v>
      </c>
      <c r="Y22" s="13">
        <f>'IR'!Y22+ADT!Y22+TECHN!Y22+'AI'!Y22+'IE'!Y22</f>
        <v>17</v>
      </c>
      <c r="Z22" s="21">
        <f t="shared" si="8"/>
        <v>3.719912472647702</v>
      </c>
      <c r="AA22" s="11">
        <f>'IR'!AA22+ADT!AA22+TECHN!AA22+'AI'!AA22+'IE'!AA22</f>
        <v>34</v>
      </c>
      <c r="AB22" s="38">
        <f t="shared" si="9"/>
        <v>8.478802992518704</v>
      </c>
    </row>
    <row r="23" spans="1:28" ht="12.75">
      <c r="A23" s="15" t="s">
        <v>28</v>
      </c>
      <c r="B23" s="11">
        <f>'IR'!B23+ADT!B23+TECHN!B23+'AI'!B23+'IE'!B23</f>
        <v>807</v>
      </c>
      <c r="C23" s="34">
        <f>'IR'!C23+ADT!C23+TECHN!C23+'AI'!C23+'IE'!C23</f>
        <v>768</v>
      </c>
      <c r="D23" s="13">
        <f>'IR'!D23+ADT!D23+TECHN!D23+'AI'!D23+'IE'!D23</f>
        <v>515</v>
      </c>
      <c r="E23" s="12">
        <f>'IR'!E23+ADT!E23+TECHN!E23+'AI'!E23+'IE'!E23</f>
        <v>467</v>
      </c>
      <c r="F23" s="42">
        <f>'IR'!F23+ADT!F23+TECHN!F23+'AI'!F23+'IE'!F23</f>
        <v>29</v>
      </c>
      <c r="G23" s="13">
        <f>'IR'!G23+ADT!G23+TECHN!G23+'AI'!G23+'IE'!G23</f>
        <v>486</v>
      </c>
      <c r="H23" s="12">
        <f>'IR'!H23+ADT!H23+TECHN!H23+'AI'!H23+'IE'!H23</f>
        <v>456</v>
      </c>
      <c r="I23" s="61">
        <f>'IR'!I23+ADT!I23+TECHN!I23+'AI'!I23+'IE'!I23</f>
        <v>20</v>
      </c>
      <c r="J23" s="62">
        <f t="shared" si="0"/>
        <v>4.11522633744856</v>
      </c>
      <c r="K23" s="63">
        <f>'IR'!K23+ADT!K23+'AI'!K23+TECHN!K23+'IE'!K23</f>
        <v>29</v>
      </c>
      <c r="L23" s="64">
        <f t="shared" si="1"/>
        <v>6.359649122807017</v>
      </c>
      <c r="M23" s="13">
        <f>'IR'!M23+ADT!M23+TECHN!M23+'AI'!M23+'IE'!M23</f>
        <v>19</v>
      </c>
      <c r="N23" s="21">
        <f t="shared" si="2"/>
        <v>3.909465020576132</v>
      </c>
      <c r="O23" s="11">
        <f>'IR'!O23+ADT!O23+TECHN!O23+'AI'!O23+'IE'!O23</f>
        <v>21</v>
      </c>
      <c r="P23" s="23">
        <f t="shared" si="3"/>
        <v>4.605263157894737</v>
      </c>
      <c r="Q23" s="13">
        <f>'IR'!Q23+ADT!Q23+TECHN!Q23+'AI'!Q23+'IE'!Q23</f>
        <v>82</v>
      </c>
      <c r="R23" s="21">
        <f t="shared" si="4"/>
        <v>16.872427983539094</v>
      </c>
      <c r="S23" s="11">
        <f>'IR'!S23+ADT!S23+TECHN!S23+'AI'!S23+'IE'!S23</f>
        <v>70</v>
      </c>
      <c r="T23" s="23">
        <f t="shared" si="5"/>
        <v>15.350877192982455</v>
      </c>
      <c r="U23" s="11">
        <f>'IR'!U23+ADT!U23+TECHN!U23+'AI'!U23+'IE'!U23</f>
        <v>247</v>
      </c>
      <c r="V23" s="21">
        <f t="shared" si="6"/>
        <v>50.82304526748971</v>
      </c>
      <c r="W23" s="11">
        <f>'IR'!W23+ADT!W23+TECHN!W23+'AI'!W23+'IE'!W23</f>
        <v>220</v>
      </c>
      <c r="X23" s="52">
        <f t="shared" si="7"/>
        <v>48.24561403508772</v>
      </c>
      <c r="Y23" s="13">
        <f>'IR'!Y23+ADT!Y23+TECHN!Y23+'AI'!Y23+'IE'!Y23</f>
        <v>99</v>
      </c>
      <c r="Z23" s="21">
        <f t="shared" si="8"/>
        <v>20.37037037037037</v>
      </c>
      <c r="AA23" s="11">
        <f>'IR'!AA23+ADT!AA23+TECHN!AA23+'AI'!AA23+'IE'!AA23</f>
        <v>115</v>
      </c>
      <c r="AB23" s="38">
        <f t="shared" si="9"/>
        <v>25.219298245614034</v>
      </c>
    </row>
    <row r="24" spans="1:28" ht="12.75">
      <c r="A24" s="15" t="s">
        <v>29</v>
      </c>
      <c r="B24" s="11">
        <f>'IR'!B24+ADT!B24+TECHN!B24+'AI'!B24+'IE'!B24</f>
        <v>7032</v>
      </c>
      <c r="C24" s="34">
        <f>'IR'!C24+ADT!C24+TECHN!C24+'AI'!C24+'IE'!C24</f>
        <v>7161</v>
      </c>
      <c r="D24" s="13">
        <f>'IR'!D24+ADT!D24+TECHN!D24+'AI'!D24+'IE'!D24</f>
        <v>3248</v>
      </c>
      <c r="E24" s="12">
        <f>'IR'!E24+ADT!E24+TECHN!E24+'AI'!E24+'IE'!E24</f>
        <v>3247</v>
      </c>
      <c r="F24" s="42">
        <f>'IR'!F24+ADT!F24+TECHN!F24+'AI'!F24+'IE'!F24</f>
        <v>100</v>
      </c>
      <c r="G24" s="13">
        <f>'IR'!G24+ADT!G24+TECHN!G24+'AI'!G24+'IE'!G24</f>
        <v>3148</v>
      </c>
      <c r="H24" s="12">
        <f>'IR'!H24+ADT!H24+TECHN!H24+'AI'!H24+'IE'!H24</f>
        <v>3085</v>
      </c>
      <c r="I24" s="61">
        <f>'IR'!I24+ADT!I24+TECHN!I24+'AI'!I24+'IE'!I24</f>
        <v>701</v>
      </c>
      <c r="J24" s="62">
        <f t="shared" si="0"/>
        <v>22.26810673443456</v>
      </c>
      <c r="K24" s="63">
        <f>'IR'!K24+ADT!K24+'AI'!K24+TECHN!K24+'IE'!K24</f>
        <v>780</v>
      </c>
      <c r="L24" s="64">
        <f t="shared" si="1"/>
        <v>25.283630470016206</v>
      </c>
      <c r="M24" s="13">
        <f>'IR'!M24+ADT!M24+TECHN!M24+'AI'!M24+'IE'!M24</f>
        <v>405</v>
      </c>
      <c r="N24" s="21">
        <f t="shared" si="2"/>
        <v>12.865311308767472</v>
      </c>
      <c r="O24" s="11">
        <f>'IR'!O24+ADT!O24+TECHN!O24+'AI'!O24+'IE'!O24</f>
        <v>486</v>
      </c>
      <c r="P24" s="23">
        <f t="shared" si="3"/>
        <v>15.753646677471638</v>
      </c>
      <c r="Q24" s="13">
        <f>'IR'!Q24+ADT!Q24+TECHN!Q24+'AI'!Q24+'IE'!Q24</f>
        <v>416</v>
      </c>
      <c r="R24" s="21">
        <f t="shared" si="4"/>
        <v>13.214739517153749</v>
      </c>
      <c r="S24" s="11">
        <f>'IR'!S24+ADT!S24+TECHN!S24+'AI'!S24+'IE'!S24</f>
        <v>482</v>
      </c>
      <c r="T24" s="23">
        <f t="shared" si="5"/>
        <v>15.623987034035656</v>
      </c>
      <c r="U24" s="11">
        <f>'IR'!U24+ADT!U24+TECHN!U24+'AI'!U24+'IE'!U24</f>
        <v>1268</v>
      </c>
      <c r="V24" s="21">
        <f t="shared" si="6"/>
        <v>40.27954256670902</v>
      </c>
      <c r="W24" s="11">
        <f>'IR'!W24+ADT!W24+TECHN!W24+'AI'!W24+'IE'!W24</f>
        <v>1130</v>
      </c>
      <c r="X24" s="52">
        <f t="shared" si="7"/>
        <v>36.6288492706645</v>
      </c>
      <c r="Y24" s="13">
        <f>'IR'!Y24+ADT!Y24+TECHN!Y24+'AI'!Y24+'IE'!Y24</f>
        <v>236</v>
      </c>
      <c r="Z24" s="21">
        <f t="shared" si="8"/>
        <v>7.496823379923761</v>
      </c>
      <c r="AA24" s="11">
        <f>'IR'!AA24+ADT!AA24+TECHN!AA24+'AI'!AA24+'IE'!AA24</f>
        <v>138</v>
      </c>
      <c r="AB24" s="38">
        <f t="shared" si="9"/>
        <v>4.473257698541329</v>
      </c>
    </row>
    <row r="25" spans="1:28" ht="12.75">
      <c r="A25" s="15" t="s">
        <v>30</v>
      </c>
      <c r="B25" s="11">
        <f>'IR'!B25+ADT!B25+TECHN!B25+'AI'!B25+'IE'!B25</f>
        <v>1024</v>
      </c>
      <c r="C25" s="34">
        <f>'IR'!C25+ADT!C25+TECHN!C25+'AI'!C25+'IE'!C25</f>
        <v>921</v>
      </c>
      <c r="D25" s="13">
        <f>'IR'!D25+ADT!D25+TECHN!D25+'AI'!D25+'IE'!D25</f>
        <v>538</v>
      </c>
      <c r="E25" s="12">
        <f>'IR'!E25+ADT!E25+TECHN!E25+'AI'!E25+'IE'!E25</f>
        <v>513</v>
      </c>
      <c r="F25" s="42">
        <f>'IR'!F25+ADT!F25+TECHN!F25+'AI'!F25+'IE'!F25</f>
        <v>34</v>
      </c>
      <c r="G25" s="13">
        <f>'IR'!G25+ADT!G25+TECHN!G25+'AI'!G25+'IE'!G25</f>
        <v>504</v>
      </c>
      <c r="H25" s="12">
        <f>'IR'!H25+ADT!H25+TECHN!H25+'AI'!H25+'IE'!H25</f>
        <v>493</v>
      </c>
      <c r="I25" s="61">
        <f>'IR'!I25+ADT!I25+TECHN!I25+'AI'!I25+'IE'!I25</f>
        <v>73</v>
      </c>
      <c r="J25" s="62">
        <f t="shared" si="0"/>
        <v>14.484126984126984</v>
      </c>
      <c r="K25" s="63">
        <f>'IR'!K25+ADT!K25+'AI'!K25+TECHN!K25+'IE'!K25</f>
        <v>91</v>
      </c>
      <c r="L25" s="64">
        <f t="shared" si="1"/>
        <v>18.45841784989858</v>
      </c>
      <c r="M25" s="13">
        <f>'IR'!M25+ADT!M25+TECHN!M25+'AI'!M25+'IE'!M25</f>
        <v>36</v>
      </c>
      <c r="N25" s="21">
        <f t="shared" si="2"/>
        <v>7.142857142857143</v>
      </c>
      <c r="O25" s="11">
        <f>'IR'!O25+ADT!O25+TECHN!O25+'AI'!O25+'IE'!O25</f>
        <v>54</v>
      </c>
      <c r="P25" s="23">
        <f t="shared" si="3"/>
        <v>10.953346855983773</v>
      </c>
      <c r="Q25" s="13">
        <f>'IR'!Q25+ADT!Q25+TECHN!Q25+'AI'!Q25+'IE'!Q25</f>
        <v>38</v>
      </c>
      <c r="R25" s="21">
        <f t="shared" si="4"/>
        <v>7.5396825396825395</v>
      </c>
      <c r="S25" s="11">
        <f>'IR'!S25+ADT!S25+TECHN!S25+'AI'!S25+'IE'!S25</f>
        <v>42</v>
      </c>
      <c r="T25" s="23">
        <f t="shared" si="5"/>
        <v>8.519269776876268</v>
      </c>
      <c r="U25" s="11">
        <f>'IR'!U25+ADT!U25+TECHN!U25+'AI'!U25+'IE'!U25</f>
        <v>237</v>
      </c>
      <c r="V25" s="21">
        <f t="shared" si="6"/>
        <v>47.023809523809526</v>
      </c>
      <c r="W25" s="11">
        <f>'IR'!W25+ADT!W25+TECHN!W25+'AI'!W25+'IE'!W25</f>
        <v>229</v>
      </c>
      <c r="X25" s="52">
        <f t="shared" si="7"/>
        <v>46.45030425963489</v>
      </c>
      <c r="Y25" s="13">
        <f>'IR'!Y25+ADT!Y25+TECHN!Y25+'AI'!Y25+'IE'!Y25</f>
        <v>70</v>
      </c>
      <c r="Z25" s="21">
        <f t="shared" si="8"/>
        <v>13.88888888888889</v>
      </c>
      <c r="AA25" s="11">
        <f>'IR'!AA25+ADT!AA25+TECHN!AA25+'AI'!AA25+'IE'!AA25</f>
        <v>76</v>
      </c>
      <c r="AB25" s="38">
        <f t="shared" si="9"/>
        <v>15.415821501014198</v>
      </c>
    </row>
    <row r="26" spans="1:28" ht="12.75">
      <c r="A26" s="15" t="s">
        <v>31</v>
      </c>
      <c r="B26" s="11">
        <f>'IR'!B26+ADT!B26+TECHN!B26+'AI'!B26+'IE'!B26</f>
        <v>460</v>
      </c>
      <c r="C26" s="34">
        <f>'IR'!C26+ADT!C26+TECHN!C26+'AI'!C26+'IE'!C26</f>
        <v>447</v>
      </c>
      <c r="D26" s="13">
        <f>'IR'!D26+ADT!D26+TECHN!D26+'AI'!D26+'IE'!D26</f>
        <v>287</v>
      </c>
      <c r="E26" s="12">
        <f>'IR'!E26+ADT!E26+TECHN!E26+'AI'!E26+'IE'!E26</f>
        <v>329</v>
      </c>
      <c r="F26" s="42">
        <f>'IR'!F26+ADT!F26+TECHN!F26+'AI'!F26+'IE'!F26</f>
        <v>12</v>
      </c>
      <c r="G26" s="13">
        <f>'IR'!G26+ADT!G26+TECHN!G26+'AI'!G26+'IE'!G26</f>
        <v>275</v>
      </c>
      <c r="H26" s="12">
        <f>'IR'!H26+ADT!H26+TECHN!H26+'AI'!H26+'IE'!H26</f>
        <v>313</v>
      </c>
      <c r="I26" s="61">
        <f>'IR'!I26+ADT!I26+TECHN!I26+'AI'!I26+'IE'!I26</f>
        <v>46</v>
      </c>
      <c r="J26" s="62">
        <f t="shared" si="0"/>
        <v>16.727272727272727</v>
      </c>
      <c r="K26" s="63">
        <f>'IR'!K26+ADT!K26+'AI'!K26+TECHN!K26+'IE'!K26</f>
        <v>39</v>
      </c>
      <c r="L26" s="64">
        <f t="shared" si="1"/>
        <v>12.460063897763579</v>
      </c>
      <c r="M26" s="13">
        <f>'IR'!M26+ADT!M26+TECHN!M26+'AI'!M26+'IE'!M26</f>
        <v>16</v>
      </c>
      <c r="N26" s="21">
        <f t="shared" si="2"/>
        <v>5.818181818181818</v>
      </c>
      <c r="O26" s="11">
        <f>'IR'!O26+ADT!O26+TECHN!O26+'AI'!O26+'IE'!O26</f>
        <v>22</v>
      </c>
      <c r="P26" s="23">
        <f t="shared" si="3"/>
        <v>7.0287539936102235</v>
      </c>
      <c r="Q26" s="13">
        <f>'IR'!Q26+ADT!Q26+TECHN!Q26+'AI'!Q26+'IE'!Q26</f>
        <v>28</v>
      </c>
      <c r="R26" s="21">
        <f t="shared" si="4"/>
        <v>10.181818181818182</v>
      </c>
      <c r="S26" s="11">
        <f>'IR'!S26+ADT!S26+TECHN!S26+'AI'!S26+'IE'!S26</f>
        <v>21</v>
      </c>
      <c r="T26" s="23">
        <f t="shared" si="5"/>
        <v>6.7092651757188495</v>
      </c>
      <c r="U26" s="11">
        <f>'IR'!U26+ADT!U26+TECHN!U26+'AI'!U26+'IE'!U26</f>
        <v>124</v>
      </c>
      <c r="V26" s="21">
        <f t="shared" si="6"/>
        <v>45.09090909090909</v>
      </c>
      <c r="W26" s="11">
        <f>'IR'!W26+ADT!W26+TECHN!W26+'AI'!W26+'IE'!W26</f>
        <v>122</v>
      </c>
      <c r="X26" s="52">
        <f t="shared" si="7"/>
        <v>38.977635782747605</v>
      </c>
      <c r="Y26" s="13">
        <f>'IR'!Y26+ADT!Y26+TECHN!Y26+'AI'!Y26+'IE'!Y26</f>
        <v>54</v>
      </c>
      <c r="Z26" s="21">
        <f t="shared" si="8"/>
        <v>19.636363636363637</v>
      </c>
      <c r="AA26" s="11">
        <f>'IR'!AA26+ADT!AA26+TECHN!AA26+'AI'!AA26+'IE'!AA26</f>
        <v>109</v>
      </c>
      <c r="AB26" s="38">
        <f t="shared" si="9"/>
        <v>34.82428115015974</v>
      </c>
    </row>
    <row r="27" spans="1:28" ht="12.75">
      <c r="A27" s="15" t="s">
        <v>32</v>
      </c>
      <c r="B27" s="11">
        <f>'IR'!B27+ADT!B27+TECHN!B27+'AI'!B27+'IE'!B27</f>
        <v>1787</v>
      </c>
      <c r="C27" s="34">
        <f>'IR'!C27+ADT!C27+TECHN!C27+'AI'!C27+'IE'!C27</f>
        <v>1677</v>
      </c>
      <c r="D27" s="13">
        <f>'IR'!D27+ADT!D27+TECHN!D27+'AI'!D27+'IE'!D27</f>
        <v>1009</v>
      </c>
      <c r="E27" s="12">
        <f>'IR'!E27+ADT!E27+TECHN!E27+'AI'!E27+'IE'!E27</f>
        <v>1026</v>
      </c>
      <c r="F27" s="42">
        <f>'IR'!F27+ADT!F27+TECHN!F27+'AI'!F27+'IE'!F27</f>
        <v>47</v>
      </c>
      <c r="G27" s="13">
        <f>'IR'!G27+ADT!G27+TECHN!G27+'AI'!G27+'IE'!G27</f>
        <v>962</v>
      </c>
      <c r="H27" s="12">
        <f>'IR'!H27+ADT!H27+TECHN!H27+'AI'!H27+'IE'!H27</f>
        <v>996</v>
      </c>
      <c r="I27" s="61">
        <f>'IR'!I27+ADT!I27+TECHN!I27+'AI'!I27+'IE'!I27</f>
        <v>244</v>
      </c>
      <c r="J27" s="62">
        <f t="shared" si="0"/>
        <v>25.363825363825363</v>
      </c>
      <c r="K27" s="63">
        <f>'IR'!K27+ADT!K27+'AI'!K27+TECHN!K27+'IE'!K27</f>
        <v>280</v>
      </c>
      <c r="L27" s="64">
        <f t="shared" si="1"/>
        <v>28.11244979919679</v>
      </c>
      <c r="M27" s="13">
        <f>'IR'!M27+ADT!M27+TECHN!M27+'AI'!M27+'IE'!M27</f>
        <v>90</v>
      </c>
      <c r="N27" s="21">
        <f t="shared" si="2"/>
        <v>9.355509355509355</v>
      </c>
      <c r="O27" s="11">
        <f>'IR'!O27+ADT!O27+TECHN!O27+'AI'!O27+'IE'!O27</f>
        <v>92</v>
      </c>
      <c r="P27" s="23">
        <f t="shared" si="3"/>
        <v>9.236947791164658</v>
      </c>
      <c r="Q27" s="13">
        <f>'IR'!Q27+ADT!Q27+TECHN!Q27+'AI'!Q27+'IE'!Q27</f>
        <v>73</v>
      </c>
      <c r="R27" s="21">
        <f t="shared" si="4"/>
        <v>7.588357588357589</v>
      </c>
      <c r="S27" s="11">
        <f>'IR'!S27+ADT!S27+TECHN!S27+'AI'!S27+'IE'!S27</f>
        <v>80</v>
      </c>
      <c r="T27" s="23">
        <f t="shared" si="5"/>
        <v>8.032128514056225</v>
      </c>
      <c r="U27" s="11">
        <f>'IR'!U27+ADT!U27+TECHN!U27+'AI'!U27+'IE'!U27</f>
        <v>496</v>
      </c>
      <c r="V27" s="21">
        <f t="shared" si="6"/>
        <v>51.55925155925156</v>
      </c>
      <c r="W27" s="11">
        <f>'IR'!W27+ADT!W27+TECHN!W27+'AI'!W27+'IE'!W27</f>
        <v>497</v>
      </c>
      <c r="X27" s="52">
        <f t="shared" si="7"/>
        <v>49.899598393574294</v>
      </c>
      <c r="Y27" s="13">
        <f>'IR'!Y27+ADT!Y27+TECHN!Y27+'AI'!Y27+'IE'!Y27</f>
        <v>48</v>
      </c>
      <c r="Z27" s="21">
        <f t="shared" si="8"/>
        <v>4.98960498960499</v>
      </c>
      <c r="AA27" s="11">
        <f>'IR'!AA27+ADT!AA27+TECHN!AA27+'AI'!AA27+'IE'!AA27</f>
        <v>47</v>
      </c>
      <c r="AB27" s="38">
        <f t="shared" si="9"/>
        <v>4.718875502008032</v>
      </c>
    </row>
    <row r="28" spans="1:28" ht="12.75">
      <c r="A28" s="15" t="s">
        <v>33</v>
      </c>
      <c r="B28" s="11">
        <f>'IR'!B28+ADT!B28+TECHN!B28+'AI'!B28+'IE'!B28</f>
        <v>192</v>
      </c>
      <c r="C28" s="34">
        <f>'IR'!C28+ADT!C28+TECHN!C28+'AI'!C28+'IE'!C28</f>
        <v>159</v>
      </c>
      <c r="D28" s="13">
        <f>'IR'!D28+ADT!D28+TECHN!D28+'AI'!D28+'IE'!D28</f>
        <v>90</v>
      </c>
      <c r="E28" s="12">
        <f>'IR'!E28+ADT!E28+TECHN!E28+'AI'!E28+'IE'!E28</f>
        <v>100</v>
      </c>
      <c r="F28" s="42">
        <f>'IR'!F28+ADT!F28+TECHN!F28+'AI'!F28+'IE'!F28</f>
        <v>3</v>
      </c>
      <c r="G28" s="13">
        <f>'IR'!G28+ADT!G28+TECHN!G28+'AI'!G28+'IE'!G28</f>
        <v>87</v>
      </c>
      <c r="H28" s="12">
        <f>'IR'!H28+ADT!H28+TECHN!H28+'AI'!H28+'IE'!H28</f>
        <v>98</v>
      </c>
      <c r="I28" s="61">
        <f>'IR'!I28+ADT!I28+TECHN!I28+'AI'!I28+'IE'!I28</f>
        <v>7</v>
      </c>
      <c r="J28" s="62">
        <f t="shared" si="0"/>
        <v>8.045977011494253</v>
      </c>
      <c r="K28" s="63">
        <f>'IR'!K28+ADT!K28+'AI'!K28+TECHN!K28+'IE'!K28</f>
        <v>3</v>
      </c>
      <c r="L28" s="64">
        <f t="shared" si="1"/>
        <v>3.061224489795918</v>
      </c>
      <c r="M28" s="13">
        <f>'IR'!M28+ADT!M28+TECHN!M28+'AI'!M28+'IE'!M28</f>
        <v>1</v>
      </c>
      <c r="N28" s="21">
        <f t="shared" si="2"/>
        <v>1.1494252873563218</v>
      </c>
      <c r="O28" s="11">
        <f>'IR'!O28+ADT!O28+TECHN!O28+'AI'!O28+'IE'!O28</f>
        <v>1</v>
      </c>
      <c r="P28" s="23">
        <f t="shared" si="3"/>
        <v>1.0204081632653061</v>
      </c>
      <c r="Q28" s="13">
        <f>'IR'!Q28+ADT!Q28+TECHN!Q28+'AI'!Q28+'IE'!Q28</f>
        <v>2</v>
      </c>
      <c r="R28" s="21">
        <f t="shared" si="4"/>
        <v>2.2988505747126435</v>
      </c>
      <c r="S28" s="11">
        <f>'IR'!S28+ADT!S28+TECHN!S28+'AI'!S28+'IE'!S28</f>
        <v>5</v>
      </c>
      <c r="T28" s="23">
        <f t="shared" si="5"/>
        <v>5.1020408163265305</v>
      </c>
      <c r="U28" s="11">
        <f>'IR'!U28+ADT!U28+TECHN!U28+'AI'!U28+'IE'!U28</f>
        <v>68</v>
      </c>
      <c r="V28" s="21">
        <f t="shared" si="6"/>
        <v>78.16091954022988</v>
      </c>
      <c r="W28" s="11">
        <f>'IR'!W28+ADT!W28+TECHN!W28+'AI'!W28+'IE'!W28</f>
        <v>78</v>
      </c>
      <c r="X28" s="52">
        <f t="shared" si="7"/>
        <v>79.59183673469387</v>
      </c>
      <c r="Y28" s="13">
        <f>'IR'!Y28+ADT!Y28+TECHN!Y28+'AI'!Y28+'IE'!Y28</f>
        <v>9</v>
      </c>
      <c r="Z28" s="21">
        <f t="shared" si="8"/>
        <v>10.344827586206897</v>
      </c>
      <c r="AA28" s="11">
        <f>'IR'!AA28+ADT!AA28+TECHN!AA28+'AI'!AA28+'IE'!AA28</f>
        <v>10</v>
      </c>
      <c r="AB28" s="38">
        <f t="shared" si="9"/>
        <v>10.204081632653061</v>
      </c>
    </row>
    <row r="29" spans="1:28" ht="12.75">
      <c r="A29" s="15" t="s">
        <v>34</v>
      </c>
      <c r="B29" s="11">
        <f>'IR'!B29+ADT!B29+TECHN!B29+'AI'!B29+'IE'!B29</f>
        <v>724</v>
      </c>
      <c r="C29" s="34">
        <f>'IR'!C29+ADT!C29+TECHN!C29+'AI'!C29+'IE'!C29</f>
        <v>645</v>
      </c>
      <c r="D29" s="13">
        <f>'IR'!D29+ADT!D29+TECHN!D29+'AI'!D29+'IE'!D29</f>
        <v>407</v>
      </c>
      <c r="E29" s="12">
        <f>'IR'!E29+ADT!E29+TECHN!E29+'AI'!E29+'IE'!E29</f>
        <v>395</v>
      </c>
      <c r="F29" s="42">
        <f>'IR'!F29+ADT!F29+TECHN!F29+'AI'!F29+'IE'!F29</f>
        <v>22</v>
      </c>
      <c r="G29" s="13">
        <f>'IR'!G29+ADT!G29+TECHN!G29+'AI'!G29+'IE'!G29</f>
        <v>385</v>
      </c>
      <c r="H29" s="12">
        <f>'IR'!H29+ADT!H29+TECHN!H29+'AI'!H29+'IE'!H29</f>
        <v>372</v>
      </c>
      <c r="I29" s="61">
        <f>'IR'!I29+ADT!I29+TECHN!I29+'AI'!I29+'IE'!I29</f>
        <v>37</v>
      </c>
      <c r="J29" s="62">
        <f t="shared" si="0"/>
        <v>9.61038961038961</v>
      </c>
      <c r="K29" s="63">
        <f>'IR'!K29+ADT!K29+'AI'!K29+TECHN!K29+'IE'!K29</f>
        <v>43</v>
      </c>
      <c r="L29" s="64">
        <f t="shared" si="1"/>
        <v>11.559139784946236</v>
      </c>
      <c r="M29" s="13">
        <f>'IR'!M29+ADT!M29+TECHN!M29+'AI'!M29+'IE'!M29</f>
        <v>7</v>
      </c>
      <c r="N29" s="21">
        <f t="shared" si="2"/>
        <v>1.8181818181818181</v>
      </c>
      <c r="O29" s="11">
        <f>'IR'!O29+ADT!O29+TECHN!O29+'AI'!O29+'IE'!O29</f>
        <v>10</v>
      </c>
      <c r="P29" s="23">
        <f t="shared" si="3"/>
        <v>2.6881720430107525</v>
      </c>
      <c r="Q29" s="13">
        <f>'IR'!Q29+ADT!Q29+TECHN!Q29+'AI'!Q29+'IE'!Q29</f>
        <v>17</v>
      </c>
      <c r="R29" s="21">
        <f t="shared" si="4"/>
        <v>4.415584415584416</v>
      </c>
      <c r="S29" s="11">
        <f>'IR'!S29+ADT!S29+TECHN!S29+'AI'!S29+'IE'!S29</f>
        <v>17</v>
      </c>
      <c r="T29" s="23">
        <f t="shared" si="5"/>
        <v>4.56989247311828</v>
      </c>
      <c r="U29" s="11">
        <f>'IR'!U29+ADT!U29+TECHN!U29+'AI'!U29+'IE'!U29</f>
        <v>141</v>
      </c>
      <c r="V29" s="21">
        <f t="shared" si="6"/>
        <v>36.62337662337662</v>
      </c>
      <c r="W29" s="11">
        <f>'IR'!W29+ADT!W29+TECHN!W29+'AI'!W29+'IE'!W29</f>
        <v>161</v>
      </c>
      <c r="X29" s="52">
        <f t="shared" si="7"/>
        <v>43.27956989247312</v>
      </c>
      <c r="Y29" s="13">
        <f>'IR'!Y29+ADT!Y29+TECHN!Y29+'AI'!Y29+'IE'!Y29</f>
        <v>173</v>
      </c>
      <c r="Z29" s="21">
        <f t="shared" si="8"/>
        <v>44.935064935064936</v>
      </c>
      <c r="AA29" s="11">
        <f>'IR'!AA29+ADT!AA29+TECHN!AA29+'AI'!AA29+'IE'!AA29</f>
        <v>139</v>
      </c>
      <c r="AB29" s="38">
        <f t="shared" si="9"/>
        <v>37.365591397849464</v>
      </c>
    </row>
    <row r="30" spans="1:28" ht="12.75">
      <c r="A30" s="15" t="s">
        <v>35</v>
      </c>
      <c r="B30" s="11">
        <f>'IR'!B30+ADT!B30+TECHN!B30+'AI'!B30+'IE'!B30</f>
        <v>1282</v>
      </c>
      <c r="C30" s="34">
        <f>'IR'!C30+ADT!C30+TECHN!C30+'AI'!C30+'IE'!C30</f>
        <v>1213</v>
      </c>
      <c r="D30" s="13">
        <f>'IR'!D30+ADT!D30+TECHN!D30+'AI'!D30+'IE'!D30</f>
        <v>678</v>
      </c>
      <c r="E30" s="12">
        <f>'IR'!E30+ADT!E30+TECHN!E30+'AI'!E30+'IE'!E30</f>
        <v>710</v>
      </c>
      <c r="F30" s="42">
        <f>'IR'!F30+ADT!F30+TECHN!F30+'AI'!F30+'IE'!F30</f>
        <v>30</v>
      </c>
      <c r="G30" s="13">
        <f>'IR'!G30+ADT!G30+TECHN!G30+'AI'!G30+'IE'!G30</f>
        <v>648</v>
      </c>
      <c r="H30" s="12">
        <f>'IR'!H30+ADT!H30+TECHN!H30+'AI'!H30+'IE'!H30</f>
        <v>669</v>
      </c>
      <c r="I30" s="61">
        <f>'IR'!I30+ADT!I30+TECHN!I30+'AI'!I30+'IE'!I30</f>
        <v>161</v>
      </c>
      <c r="J30" s="62">
        <f t="shared" si="0"/>
        <v>24.84567901234568</v>
      </c>
      <c r="K30" s="63">
        <f>'IR'!K30+ADT!K30+'AI'!K30+TECHN!K30+'IE'!K30</f>
        <v>143</v>
      </c>
      <c r="L30" s="64">
        <f t="shared" si="1"/>
        <v>21.375186846038865</v>
      </c>
      <c r="M30" s="13">
        <f>'IR'!M30+ADT!M30+TECHN!M30+'AI'!M30+'IE'!M30</f>
        <v>72</v>
      </c>
      <c r="N30" s="21">
        <f t="shared" si="2"/>
        <v>11.11111111111111</v>
      </c>
      <c r="O30" s="11">
        <f>'IR'!O30+ADT!O30+TECHN!O30+'AI'!O30+'IE'!O30</f>
        <v>101</v>
      </c>
      <c r="P30" s="23">
        <f t="shared" si="3"/>
        <v>15.097159940209268</v>
      </c>
      <c r="Q30" s="13">
        <f>'IR'!Q30+ADT!Q30+TECHN!Q30+'AI'!Q30+'IE'!Q30</f>
        <v>46</v>
      </c>
      <c r="R30" s="21">
        <f t="shared" si="4"/>
        <v>7.098765432098766</v>
      </c>
      <c r="S30" s="11">
        <f>'IR'!S30+ADT!S30+TECHN!S30+'AI'!S30+'IE'!S30</f>
        <v>49</v>
      </c>
      <c r="T30" s="23">
        <f t="shared" si="5"/>
        <v>7.324364723467863</v>
      </c>
      <c r="U30" s="11">
        <f>'IR'!U30+ADT!U30+TECHN!U30+'AI'!U30+'IE'!U30</f>
        <v>331</v>
      </c>
      <c r="V30" s="21">
        <f t="shared" si="6"/>
        <v>51.08024691358025</v>
      </c>
      <c r="W30" s="11">
        <f>'IR'!W30+ADT!W30+TECHN!W30+'AI'!W30+'IE'!W30</f>
        <v>337</v>
      </c>
      <c r="X30" s="52">
        <f t="shared" si="7"/>
        <v>50.37369207772795</v>
      </c>
      <c r="Y30" s="13">
        <f>'IR'!Y30+ADT!Y30+TECHN!Y30+'AI'!Y30+'IE'!Y30</f>
        <v>28</v>
      </c>
      <c r="Z30" s="21">
        <f t="shared" si="8"/>
        <v>4.320987654320987</v>
      </c>
      <c r="AA30" s="11">
        <f>'IR'!AA30+ADT!AA30+TECHN!AA30+'AI'!AA30+'IE'!AA30</f>
        <v>37</v>
      </c>
      <c r="AB30" s="38">
        <f t="shared" si="9"/>
        <v>5.530642750373692</v>
      </c>
    </row>
    <row r="31" spans="1:28" ht="12.75">
      <c r="A31" s="15" t="s">
        <v>36</v>
      </c>
      <c r="B31" s="11">
        <f>'IR'!B31+ADT!B31+TECHN!B31+'AI'!B31+'IE'!B31</f>
        <v>2109</v>
      </c>
      <c r="C31" s="34">
        <f>'IR'!C31+ADT!C31+TECHN!C31+'AI'!C31+'IE'!C31</f>
        <v>2042</v>
      </c>
      <c r="D31" s="13">
        <f>'IR'!D31+ADT!D31+TECHN!D31+'AI'!D31+'IE'!D31</f>
        <v>1241</v>
      </c>
      <c r="E31" s="12">
        <f>'IR'!E31+ADT!E31+TECHN!E31+'AI'!E31+'IE'!E31</f>
        <v>1163</v>
      </c>
      <c r="F31" s="42">
        <f>'IR'!F31+ADT!F31+TECHN!F31+'AI'!F31+'IE'!F31</f>
        <v>66</v>
      </c>
      <c r="G31" s="13">
        <f>'IR'!G31+ADT!G31+TECHN!G31+'AI'!G31+'IE'!G31</f>
        <v>1175</v>
      </c>
      <c r="H31" s="12">
        <f>'IR'!H31+ADT!H31+TECHN!H31+'AI'!H31+'IE'!H31</f>
        <v>1088</v>
      </c>
      <c r="I31" s="61">
        <f>'IR'!I31+ADT!I31+TECHN!I31+'AI'!I31+'IE'!I31</f>
        <v>378</v>
      </c>
      <c r="J31" s="62">
        <f t="shared" si="0"/>
        <v>32.170212765957444</v>
      </c>
      <c r="K31" s="63">
        <f>'IR'!K31+ADT!K31+'AI'!K31+TECHN!K31+'IE'!K31</f>
        <v>412</v>
      </c>
      <c r="L31" s="64">
        <f t="shared" si="1"/>
        <v>37.86764705882353</v>
      </c>
      <c r="M31" s="13">
        <f>'IR'!M31+ADT!M31+TECHN!M31+'AI'!M31+'IE'!M31</f>
        <v>71</v>
      </c>
      <c r="N31" s="21">
        <f t="shared" si="2"/>
        <v>6.042553191489362</v>
      </c>
      <c r="O31" s="11">
        <f>'IR'!O31+ADT!O31+TECHN!O31+'AI'!O31+'IE'!O31</f>
        <v>42</v>
      </c>
      <c r="P31" s="23">
        <f t="shared" si="3"/>
        <v>3.860294117647059</v>
      </c>
      <c r="Q31" s="13">
        <f>'IR'!Q31+ADT!Q31+TECHN!Q31+'AI'!Q31+'IE'!Q31</f>
        <v>122</v>
      </c>
      <c r="R31" s="21">
        <f t="shared" si="4"/>
        <v>10.382978723404255</v>
      </c>
      <c r="S31" s="11">
        <f>'IR'!S31+ADT!S31+TECHN!S31+'AI'!S31+'IE'!S31</f>
        <v>141</v>
      </c>
      <c r="T31" s="23">
        <f t="shared" si="5"/>
        <v>12.959558823529411</v>
      </c>
      <c r="U31" s="11">
        <f>'IR'!U31+ADT!U31+TECHN!U31+'AI'!U31+'IE'!U31</f>
        <v>524</v>
      </c>
      <c r="V31" s="21">
        <f t="shared" si="6"/>
        <v>44.59574468085106</v>
      </c>
      <c r="W31" s="11">
        <f>'IR'!W31+ADT!W31+TECHN!W31+'AI'!W31+'IE'!W31</f>
        <v>446</v>
      </c>
      <c r="X31" s="52">
        <f t="shared" si="7"/>
        <v>40.99264705882353</v>
      </c>
      <c r="Y31" s="13">
        <f>'IR'!Y31+ADT!Y31+TECHN!Y31+'AI'!Y31+'IE'!Y31</f>
        <v>55</v>
      </c>
      <c r="Z31" s="21">
        <f t="shared" si="8"/>
        <v>4.680851063829787</v>
      </c>
      <c r="AA31" s="11">
        <f>'IR'!AA31+ADT!AA31+TECHN!AA31+'AI'!AA31+'IE'!AA31</f>
        <v>47</v>
      </c>
      <c r="AB31" s="38">
        <f t="shared" si="9"/>
        <v>4.319852941176471</v>
      </c>
    </row>
    <row r="32" spans="1:28" ht="12.75">
      <c r="A32" s="15" t="s">
        <v>37</v>
      </c>
      <c r="B32" s="11">
        <f>'IR'!B32+ADT!B32+TECHN!B32+'AI'!B32+'IE'!B32</f>
        <v>2113</v>
      </c>
      <c r="C32" s="34">
        <f>'IR'!C32+ADT!C32+TECHN!C32+'AI'!C32+'IE'!C32</f>
        <v>1900</v>
      </c>
      <c r="D32" s="13">
        <f>'IR'!D32+ADT!D32+TECHN!D32+'AI'!D32+'IE'!D32</f>
        <v>965</v>
      </c>
      <c r="E32" s="12">
        <f>'IR'!E32+ADT!E32+TECHN!E32+'AI'!E32+'IE'!E32</f>
        <v>958</v>
      </c>
      <c r="F32" s="42">
        <f>'IR'!F32+ADT!F32+TECHN!F32+'AI'!F32+'IE'!F32</f>
        <v>42</v>
      </c>
      <c r="G32" s="13">
        <f>'IR'!G32+ADT!G32+TECHN!G32+'AI'!G32+'IE'!G32</f>
        <v>923</v>
      </c>
      <c r="H32" s="12">
        <f>'IR'!H32+ADT!H32+TECHN!H32+'AI'!H32+'IE'!H32</f>
        <v>903</v>
      </c>
      <c r="I32" s="61">
        <f>'IR'!I32+ADT!I32+TECHN!I32+'AI'!I32+'IE'!I32</f>
        <v>155</v>
      </c>
      <c r="J32" s="62">
        <f t="shared" si="0"/>
        <v>16.793066088840735</v>
      </c>
      <c r="K32" s="63">
        <f>'IR'!K32+ADT!K32+'AI'!K32+TECHN!K32+'IE'!K32</f>
        <v>182</v>
      </c>
      <c r="L32" s="64">
        <f t="shared" si="1"/>
        <v>20.155038759689923</v>
      </c>
      <c r="M32" s="13">
        <f>'IR'!M32+ADT!M32+TECHN!M32+'AI'!M32+'IE'!M32</f>
        <v>79</v>
      </c>
      <c r="N32" s="21">
        <f t="shared" si="2"/>
        <v>8.559046587215601</v>
      </c>
      <c r="O32" s="11">
        <f>'IR'!O32+ADT!O32+TECHN!O32+'AI'!O32+'IE'!O32</f>
        <v>79</v>
      </c>
      <c r="P32" s="23">
        <f t="shared" si="3"/>
        <v>8.748615725359912</v>
      </c>
      <c r="Q32" s="13">
        <f>'IR'!Q32+ADT!Q32+TECHN!Q32+'AI'!Q32+'IE'!Q32</f>
        <v>45</v>
      </c>
      <c r="R32" s="21">
        <f t="shared" si="4"/>
        <v>4.8754062838569885</v>
      </c>
      <c r="S32" s="11">
        <f>'IR'!S32+ADT!S32+TECHN!S32+'AI'!S32+'IE'!S32</f>
        <v>71</v>
      </c>
      <c r="T32" s="23">
        <f t="shared" si="5"/>
        <v>7.862679955703212</v>
      </c>
      <c r="U32" s="11">
        <f>'IR'!U32+ADT!U32+TECHN!U32+'AI'!U32+'IE'!U32</f>
        <v>526</v>
      </c>
      <c r="V32" s="21">
        <f t="shared" si="6"/>
        <v>56.988082340195014</v>
      </c>
      <c r="W32" s="11">
        <f>'IR'!W32+ADT!W32+TECHN!W32+'AI'!W32+'IE'!W32</f>
        <v>492</v>
      </c>
      <c r="X32" s="52">
        <f t="shared" si="7"/>
        <v>54.48504983388705</v>
      </c>
      <c r="Y32" s="13">
        <f>'IR'!Y32+ADT!Y32+TECHN!Y32+'AI'!Y32+'IE'!Y32</f>
        <v>90</v>
      </c>
      <c r="Z32" s="21">
        <f t="shared" si="8"/>
        <v>9.750812567713977</v>
      </c>
      <c r="AA32" s="11">
        <f>'IR'!AA32+ADT!AA32+TECHN!AA32+'AI'!AA32+'IE'!AA32</f>
        <v>77</v>
      </c>
      <c r="AB32" s="38">
        <f t="shared" si="9"/>
        <v>8.527131782945736</v>
      </c>
    </row>
    <row r="33" spans="1:28" ht="12.75">
      <c r="A33" s="15" t="s">
        <v>12</v>
      </c>
      <c r="B33" s="11">
        <f>'IR'!B33+ADT!B33+TECHN!B33+'AI'!B33+'IE'!B33</f>
        <v>45</v>
      </c>
      <c r="C33" s="34">
        <f>'IR'!C33+ADT!C33+TECHN!C33+'AI'!C33+'IE'!C33</f>
        <v>27</v>
      </c>
      <c r="D33" s="13">
        <f>'IR'!D33+ADT!D33+TECHN!D33+'AI'!D33+'IE'!D33</f>
        <v>33</v>
      </c>
      <c r="E33" s="12">
        <f>'IR'!E33+ADT!E33+TECHN!E33+'AI'!E33+'IE'!E33</f>
        <v>7</v>
      </c>
      <c r="F33" s="42">
        <f>'IR'!F33+ADT!F33+TECHN!F33+'AI'!F33+'IE'!F33</f>
        <v>0</v>
      </c>
      <c r="G33" s="13">
        <f>'IR'!G33+ADT!G33+TECHN!G33+'AI'!G33+'IE'!G33</f>
        <v>33</v>
      </c>
      <c r="H33" s="12">
        <f>'IR'!H33+ADT!H33+TECHN!H33+'AI'!H33+'IE'!H33</f>
        <v>7</v>
      </c>
      <c r="I33" s="61">
        <f>'IR'!I33+ADT!I33+TECHN!I33+'AI'!I33+'IE'!I33</f>
        <v>1</v>
      </c>
      <c r="J33" s="62">
        <f t="shared" si="0"/>
        <v>3.0303030303030303</v>
      </c>
      <c r="K33" s="63">
        <f>'IR'!K33+ADT!K33+'AI'!K33+TECHN!K33+'IE'!K33</f>
        <v>0</v>
      </c>
      <c r="L33" s="64">
        <f t="shared" si="1"/>
      </c>
      <c r="M33" s="13">
        <f>'IR'!M33+ADT!M33+TECHN!M33+'AI'!M33+'IE'!M33</f>
        <v>1</v>
      </c>
      <c r="N33" s="21">
        <f t="shared" si="2"/>
        <v>3.0303030303030303</v>
      </c>
      <c r="O33" s="11">
        <f>'IR'!O33+ADT!O33+TECHN!O33+'AI'!O33+'IE'!O33</f>
        <v>0</v>
      </c>
      <c r="P33" s="23">
        <f t="shared" si="3"/>
      </c>
      <c r="Q33" s="13">
        <f>'IR'!Q33+ADT!Q33+TECHN!Q33+'AI'!Q33+'IE'!Q33</f>
        <v>3</v>
      </c>
      <c r="R33" s="21">
        <f t="shared" si="4"/>
        <v>9.090909090909092</v>
      </c>
      <c r="S33" s="11">
        <f>'IR'!S33+ADT!S33+TECHN!S33+'AI'!S33+'IE'!S33</f>
        <v>0</v>
      </c>
      <c r="T33" s="23">
        <f t="shared" si="5"/>
      </c>
      <c r="U33" s="11">
        <f>'IR'!U33+ADT!U33+TECHN!U33+'AI'!U33+'IE'!U33</f>
        <v>27</v>
      </c>
      <c r="V33" s="21">
        <f t="shared" si="6"/>
        <v>81.81818181818181</v>
      </c>
      <c r="W33" s="11">
        <f>'IR'!W33+ADT!W33+TECHN!W33+'AI'!W33+'IE'!W33</f>
        <v>7</v>
      </c>
      <c r="X33" s="52">
        <v>100</v>
      </c>
      <c r="Y33" s="13">
        <f>'IR'!Y33+ADT!Y33+TECHN!Y33+'AI'!Y33+'IE'!Y33</f>
        <v>1</v>
      </c>
      <c r="Z33" s="21">
        <f t="shared" si="8"/>
        <v>3.0303030303030303</v>
      </c>
      <c r="AA33" s="11">
        <f>'IR'!AA33+ADT!AA33+TECHN!AA33+'AI'!AA33+'IE'!AA33</f>
        <v>0</v>
      </c>
      <c r="AB33" s="38">
        <f t="shared" si="9"/>
      </c>
    </row>
    <row r="34" spans="1:28" ht="12.75">
      <c r="A34" s="15" t="s">
        <v>64</v>
      </c>
      <c r="B34" s="11">
        <f>'IR'!B34+ADT!B34+TECHN!B34+'AI'!B34+'IE'!B34</f>
        <v>121</v>
      </c>
      <c r="C34" s="34">
        <f>'IR'!C34+ADT!C34+TECHN!C34+'AI'!C34+'IE'!C34</f>
        <v>79</v>
      </c>
      <c r="D34" s="13">
        <f>'IR'!D34+ADT!D34+TECHN!D34+'AI'!D34+'IE'!D34</f>
        <v>64</v>
      </c>
      <c r="E34" s="12">
        <f>'IR'!E34+ADT!E34+TECHN!E34+'AI'!E34+'IE'!E34</f>
        <v>53</v>
      </c>
      <c r="F34" s="42">
        <f>'IR'!F34+ADT!F34+TECHN!F34+'AI'!F34+'IE'!F34</f>
        <v>2</v>
      </c>
      <c r="G34" s="13">
        <f>'IR'!G34+ADT!G34+TECHN!G34+'AI'!G34+'IE'!G34</f>
        <v>62</v>
      </c>
      <c r="H34" s="12">
        <f>'IR'!H34+ADT!H34+TECHN!H34+'AI'!H34+'IE'!H34</f>
        <v>51</v>
      </c>
      <c r="I34" s="61">
        <f>'IR'!I34+ADT!I34+TECHN!I34+'AI'!I34+'IE'!I34</f>
        <v>6</v>
      </c>
      <c r="J34" s="62">
        <f t="shared" si="0"/>
        <v>9.67741935483871</v>
      </c>
      <c r="K34" s="63">
        <f>'IR'!K34+ADT!K34+'AI'!K34+TECHN!K34+'IE'!K34</f>
        <v>2</v>
      </c>
      <c r="L34" s="64">
        <f t="shared" si="1"/>
        <v>3.9215686274509802</v>
      </c>
      <c r="M34" s="13">
        <f>'IR'!M34+ADT!M34+TECHN!M34+'AI'!M34+'IE'!M34</f>
        <v>0</v>
      </c>
      <c r="N34" s="21">
        <f t="shared" si="2"/>
      </c>
      <c r="O34" s="11">
        <f>'IR'!O34+ADT!O34+TECHN!O34+'AI'!O34+'IE'!O34</f>
        <v>0</v>
      </c>
      <c r="P34" s="23">
        <f t="shared" si="3"/>
      </c>
      <c r="Q34" s="13">
        <f>'IR'!Q34+ADT!Q34+TECHN!Q34+'AI'!Q34+'IE'!Q34</f>
        <v>3</v>
      </c>
      <c r="R34" s="21">
        <f t="shared" si="4"/>
        <v>4.838709677419355</v>
      </c>
      <c r="S34" s="11">
        <f>'IR'!S34+ADT!S34+TECHN!S34+'AI'!S34+'IE'!S34</f>
        <v>3</v>
      </c>
      <c r="T34" s="23">
        <f t="shared" si="5"/>
        <v>5.882352941176471</v>
      </c>
      <c r="U34" s="11">
        <f>'IR'!U34+ADT!U34+TECHN!U34+'AI'!U34+'IE'!U34</f>
        <v>51</v>
      </c>
      <c r="V34" s="21">
        <f t="shared" si="6"/>
        <v>82.25806451612904</v>
      </c>
      <c r="W34" s="11">
        <f>'IR'!W34+ADT!W34+TECHN!W34+'AI'!W34+'IE'!W34</f>
        <v>46</v>
      </c>
      <c r="X34" s="52">
        <f t="shared" si="7"/>
        <v>90.19607843137256</v>
      </c>
      <c r="Y34" s="13">
        <f>'IR'!Y34+ADT!Y34+TECHN!Y34+'AI'!Y34+'IE'!Y34</f>
        <v>2</v>
      </c>
      <c r="Z34" s="21">
        <f t="shared" si="8"/>
        <v>3.225806451612903</v>
      </c>
      <c r="AA34" s="11">
        <f>'IR'!AA34+ADT!AA34+TECHN!AA34+'AI'!AA34+'IE'!AA34</f>
        <v>0</v>
      </c>
      <c r="AB34" s="38">
        <f t="shared" si="9"/>
      </c>
    </row>
    <row r="35" spans="1:28" ht="12.75">
      <c r="A35" s="15" t="s">
        <v>61</v>
      </c>
      <c r="B35" s="11">
        <f>'IR'!B35+ADT!B35+TECHN!B35+'AI'!B35+'IE'!B35</f>
        <v>222</v>
      </c>
      <c r="C35" s="34">
        <f>'IR'!C35+ADT!C35+TECHN!C35+'AI'!C35+'IE'!C35</f>
        <v>120</v>
      </c>
      <c r="D35" s="13">
        <f>'IR'!D35+ADT!D35+TECHN!D35+'AI'!D35+'IE'!D35</f>
        <v>140</v>
      </c>
      <c r="E35" s="12">
        <f>'IR'!E35+ADT!E35+TECHN!E35+'AI'!E35+'IE'!E35</f>
        <v>86</v>
      </c>
      <c r="F35" s="42">
        <f>'IR'!F35+ADT!F35+TECHN!F35+'AI'!F35+'IE'!F35</f>
        <v>6</v>
      </c>
      <c r="G35" s="13">
        <f>'IR'!G35+ADT!G35+TECHN!G35+'AI'!G35+'IE'!G35</f>
        <v>134</v>
      </c>
      <c r="H35" s="12">
        <f>'IR'!H35+ADT!H35+TECHN!H35+'AI'!H35+'IE'!H35</f>
        <v>84</v>
      </c>
      <c r="I35" s="61">
        <f>'IR'!I35+ADT!I35+TECHN!I35+'AI'!I35+'IE'!I35</f>
        <v>15</v>
      </c>
      <c r="J35" s="62">
        <f t="shared" si="0"/>
        <v>11.194029850746269</v>
      </c>
      <c r="K35" s="63">
        <f>'IR'!K35+ADT!K35+'AI'!K35+TECHN!K35+'IE'!K35</f>
        <v>4</v>
      </c>
      <c r="L35" s="64">
        <f t="shared" si="1"/>
        <v>4.761904761904762</v>
      </c>
      <c r="M35" s="13">
        <f>'IR'!M35+ADT!M35+TECHN!M35+'AI'!M35+'IE'!M35</f>
        <v>6</v>
      </c>
      <c r="N35" s="21">
        <f t="shared" si="2"/>
        <v>4.477611940298507</v>
      </c>
      <c r="O35" s="11">
        <f>'IR'!O35+ADT!O35+TECHN!O35+'AI'!O35+'IE'!O35</f>
        <v>2</v>
      </c>
      <c r="P35" s="23">
        <f t="shared" si="3"/>
        <v>2.380952380952381</v>
      </c>
      <c r="Q35" s="13">
        <f>'IR'!Q35+ADT!Q35+TECHN!Q35+'AI'!Q35+'IE'!Q35</f>
        <v>4</v>
      </c>
      <c r="R35" s="21">
        <f t="shared" si="4"/>
        <v>2.985074626865672</v>
      </c>
      <c r="S35" s="11">
        <f>'IR'!S35+ADT!S35+TECHN!S35+'AI'!S35+'IE'!S35</f>
        <v>1</v>
      </c>
      <c r="T35" s="23">
        <f t="shared" si="5"/>
        <v>1.1904761904761905</v>
      </c>
      <c r="U35" s="11">
        <f>'IR'!U35+ADT!U35+TECHN!U35+'AI'!U35+'IE'!U35</f>
        <v>101</v>
      </c>
      <c r="V35" s="21">
        <f t="shared" si="6"/>
        <v>75.3731343283582</v>
      </c>
      <c r="W35" s="11">
        <f>'IR'!W35+ADT!W35+TECHN!W35+'AI'!W35+'IE'!W35</f>
        <v>69</v>
      </c>
      <c r="X35" s="52">
        <f t="shared" si="7"/>
        <v>82.14285714285714</v>
      </c>
      <c r="Y35" s="13">
        <f>'IR'!Y35+ADT!Y35+TECHN!Y35+'AI'!Y35+'IE'!Y35</f>
        <v>6</v>
      </c>
      <c r="Z35" s="21">
        <f t="shared" si="8"/>
        <v>4.477611940298507</v>
      </c>
      <c r="AA35" s="11">
        <f>'IR'!AA35+ADT!AA35+TECHN!AA35+'AI'!AA35+'IE'!AA35</f>
        <v>4</v>
      </c>
      <c r="AB35" s="38">
        <f t="shared" si="9"/>
        <v>4.761904761904762</v>
      </c>
    </row>
    <row r="36" spans="1:28" ht="12.75">
      <c r="A36" s="15" t="s">
        <v>71</v>
      </c>
      <c r="B36" s="11">
        <f>'IR'!B36+ADT!B36+TECHN!B36+'AI'!B36+'IE'!B36</f>
        <v>26</v>
      </c>
      <c r="C36" s="34">
        <f>'IR'!C36+ADT!C36+TECHN!C36+'AI'!C36+'IE'!C36</f>
        <v>152</v>
      </c>
      <c r="D36" s="13">
        <f>'IR'!D36+ADT!D36+TECHN!D36+'AI'!D36+'IE'!D36</f>
        <v>17</v>
      </c>
      <c r="E36" s="12">
        <f>'IR'!E36+ADT!E36+TECHN!E36+'AI'!E36+'IE'!E36</f>
        <v>89</v>
      </c>
      <c r="F36" s="42">
        <f>'IR'!F36+ADT!F36+TECHN!F36+'AI'!F36+'IE'!F36</f>
        <v>1</v>
      </c>
      <c r="G36" s="13">
        <f>'IR'!G36+ADT!G36+TECHN!G36+'AI'!G36+'IE'!G36</f>
        <v>16</v>
      </c>
      <c r="H36" s="12">
        <f>'IR'!H36+ADT!H36+TECHN!H36+'AI'!H36+'IE'!H36</f>
        <v>80</v>
      </c>
      <c r="I36" s="61">
        <f>'IR'!I36+ADT!I36+TECHN!I36+'AI'!I36+'IE'!I36</f>
        <v>1</v>
      </c>
      <c r="J36" s="62">
        <f t="shared" si="0"/>
        <v>6.25</v>
      </c>
      <c r="K36" s="63">
        <f>'IR'!K36+ADT!K36+'AI'!K36+TECHN!K36+'IE'!K36</f>
        <v>11</v>
      </c>
      <c r="L36" s="64">
        <f t="shared" si="1"/>
        <v>13.75</v>
      </c>
      <c r="M36" s="13">
        <f>'IR'!M36+ADT!M36+TECHN!M36+'AI'!M36+'IE'!M36</f>
        <v>1</v>
      </c>
      <c r="N36" s="21">
        <f t="shared" si="2"/>
        <v>6.25</v>
      </c>
      <c r="O36" s="11">
        <f>'IR'!O36+ADT!O36+TECHN!O36+'AI'!O36+'IE'!O36</f>
        <v>5</v>
      </c>
      <c r="P36" s="23">
        <f t="shared" si="3"/>
        <v>6.25</v>
      </c>
      <c r="Q36" s="13">
        <f>'IR'!Q36+ADT!Q36+TECHN!Q36+'AI'!Q36+'IE'!Q36</f>
        <v>0</v>
      </c>
      <c r="R36" s="21">
        <f t="shared" si="4"/>
      </c>
      <c r="S36" s="11">
        <f>'IR'!S36+ADT!S36+TECHN!S36+'AI'!S36+'IE'!S36</f>
        <v>6</v>
      </c>
      <c r="T36" s="23">
        <f t="shared" si="5"/>
        <v>7.5</v>
      </c>
      <c r="U36" s="11">
        <f>'IR'!U36+ADT!U36+TECHN!U36+'AI'!U36+'IE'!U36</f>
        <v>13</v>
      </c>
      <c r="V36" s="21">
        <f t="shared" si="6"/>
        <v>81.25</v>
      </c>
      <c r="W36" s="11">
        <f>'IR'!W36+ADT!W36+TECHN!W36+'AI'!W36+'IE'!W36</f>
        <v>55</v>
      </c>
      <c r="X36" s="52">
        <f t="shared" si="7"/>
        <v>68.75</v>
      </c>
      <c r="Y36" s="13">
        <f>'IR'!Y36+ADT!Y36+TECHN!Y36+'AI'!Y36+'IE'!Y36</f>
        <v>1</v>
      </c>
      <c r="Z36" s="21">
        <f t="shared" si="8"/>
        <v>6.25</v>
      </c>
      <c r="AA36" s="11">
        <f>'IR'!AA36+ADT!AA36+TECHN!AA36+'AI'!AA36+'IE'!AA36</f>
        <v>5</v>
      </c>
      <c r="AB36" s="38">
        <f t="shared" si="9"/>
        <v>6.25</v>
      </c>
    </row>
    <row r="37" spans="1:28" ht="12.75">
      <c r="A37" s="15" t="s">
        <v>38</v>
      </c>
      <c r="B37" s="11">
        <f>'IR'!B37+ADT!B37+TECHN!B37+'AI'!B37+'IE'!B37</f>
        <v>0</v>
      </c>
      <c r="C37" s="34">
        <f>'IR'!C37+ADT!C37+TECHN!C37+'AI'!C37+'IE'!C37</f>
        <v>95</v>
      </c>
      <c r="D37" s="13">
        <f>'IR'!D37+ADT!D37+TECHN!D37+'AI'!D37+'IE'!D37</f>
        <v>0</v>
      </c>
      <c r="E37" s="12">
        <f>'IR'!E37+ADT!E37+TECHN!E37+'AI'!E37+'IE'!E37</f>
        <v>58</v>
      </c>
      <c r="F37" s="42">
        <f>'IR'!F37+ADT!F37+TECHN!F37+'AI'!F37+'IE'!F37</f>
        <v>0</v>
      </c>
      <c r="G37" s="13">
        <f>'IR'!G37+ADT!G37+TECHN!G37+'AI'!G37+'IE'!G37</f>
        <v>0</v>
      </c>
      <c r="H37" s="12">
        <f>'IR'!H37+ADT!H37+TECHN!H37+'AI'!H37+'IE'!H37</f>
        <v>52</v>
      </c>
      <c r="I37" s="61">
        <f>'IR'!I37+ADT!I37+TECHN!I37+'AI'!I37+'IE'!I37</f>
        <v>0</v>
      </c>
      <c r="J37" s="62">
        <f t="shared" si="0"/>
      </c>
      <c r="K37" s="63">
        <f>'IR'!K37+ADT!K37+'AI'!K37+TECHN!K37+'IE'!K37</f>
        <v>3</v>
      </c>
      <c r="L37" s="64">
        <f t="shared" si="1"/>
        <v>5.769230769230769</v>
      </c>
      <c r="M37" s="13">
        <f>'IR'!M37+ADT!M37+TECHN!M37+'AI'!M37+'IE'!M37</f>
        <v>0</v>
      </c>
      <c r="N37" s="21">
        <f t="shared" si="2"/>
      </c>
      <c r="O37" s="11">
        <f>'IR'!O37+ADT!O37+TECHN!O37+'AI'!O37+'IE'!O37</f>
        <v>1</v>
      </c>
      <c r="P37" s="23">
        <f t="shared" si="3"/>
        <v>1.9230769230769231</v>
      </c>
      <c r="Q37" s="13">
        <f>'IR'!Q37+ADT!Q37+TECHN!Q37+'AI'!Q37+'IE'!Q37</f>
        <v>0</v>
      </c>
      <c r="R37" s="21">
        <f t="shared" si="4"/>
      </c>
      <c r="S37" s="11">
        <f>'IR'!S37+ADT!S37+TECHN!S37+'AI'!S37+'IE'!S37</f>
        <v>1</v>
      </c>
      <c r="T37" s="23">
        <f t="shared" si="5"/>
        <v>1.9230769230769231</v>
      </c>
      <c r="U37" s="11">
        <f>'IR'!U37+ADT!U37+TECHN!U37+'AI'!U37+'IE'!U37</f>
        <v>0</v>
      </c>
      <c r="V37" s="21">
        <f t="shared" si="6"/>
      </c>
      <c r="W37" s="11">
        <f>'IR'!W37+ADT!W37+TECHN!W37+'AI'!W37+'IE'!W37</f>
        <v>44</v>
      </c>
      <c r="X37" s="52">
        <f t="shared" si="7"/>
        <v>84.61538461538461</v>
      </c>
      <c r="Y37" s="13">
        <f>'IR'!Y37+ADT!Y37+TECHN!Y37+'AI'!Y37+'IE'!Y37</f>
        <v>0</v>
      </c>
      <c r="Z37" s="21">
        <f t="shared" si="8"/>
      </c>
      <c r="AA37" s="11">
        <f>'IR'!AA37+ADT!AA37+TECHN!AA37+'AI'!AA37+'IE'!AA37</f>
        <v>3</v>
      </c>
      <c r="AB37" s="38">
        <f t="shared" si="9"/>
        <v>5.769230769230769</v>
      </c>
    </row>
    <row r="38" spans="1:28" ht="12.75">
      <c r="A38" s="16" t="s">
        <v>41</v>
      </c>
      <c r="B38" s="11">
        <f>'IR'!B38+ADT!B38+TECHN!B38+'AI'!B38+'IE'!B38</f>
        <v>0</v>
      </c>
      <c r="C38" s="34">
        <f>'IR'!C38+ADT!C38+TECHN!C38+'AI'!C38+'IE'!C38</f>
        <v>0</v>
      </c>
      <c r="D38" s="13">
        <f>'IR'!D38+ADT!D38+TECHN!D38+'AI'!D38+'IE'!D38</f>
        <v>0</v>
      </c>
      <c r="E38" s="12">
        <f>'IR'!E38+ADT!E38+TECHN!E38+'AI'!E38+'IE'!E38</f>
        <v>0</v>
      </c>
      <c r="F38" s="42">
        <f>'IR'!F38+ADT!F38+TECHN!F38+'AI'!F38+'IE'!F38</f>
        <v>0</v>
      </c>
      <c r="G38" s="13">
        <f>'IR'!G38+ADT!G38+TECHN!G38+'AI'!G38+'IE'!G38</f>
        <v>0</v>
      </c>
      <c r="H38" s="12">
        <f>'IR'!H38+ADT!H38+TECHN!H38+'AI'!H38+'IE'!H38</f>
        <v>0</v>
      </c>
      <c r="I38" s="61">
        <f>'IR'!I38+ADT!I38+TECHN!I38+'AI'!I38+'IE'!I38</f>
        <v>0</v>
      </c>
      <c r="J38" s="62">
        <f t="shared" si="0"/>
      </c>
      <c r="K38" s="63">
        <f>'IR'!K38+ADT!K38+'AI'!K38+TECHN!K38+'IE'!K38</f>
        <v>0</v>
      </c>
      <c r="L38" s="64">
        <f t="shared" si="1"/>
      </c>
      <c r="M38" s="13">
        <f>'IR'!M38+ADT!M38+TECHN!M38+'AI'!M38+'IE'!M38</f>
        <v>0</v>
      </c>
      <c r="N38" s="21">
        <f t="shared" si="2"/>
      </c>
      <c r="O38" s="11">
        <f>'IR'!O38+ADT!O38+TECHN!O38+'AI'!O38+'IE'!O38</f>
        <v>0</v>
      </c>
      <c r="P38" s="23">
        <f t="shared" si="3"/>
      </c>
      <c r="Q38" s="13">
        <f>'IR'!Q38+ADT!Q38+TECHN!Q38+'AI'!Q38+'IE'!Q38</f>
        <v>0</v>
      </c>
      <c r="R38" s="21">
        <f t="shared" si="4"/>
      </c>
      <c r="S38" s="11">
        <f>'IR'!S38+ADT!S38+TECHN!S38+'AI'!S38+'IE'!S38</f>
        <v>0</v>
      </c>
      <c r="T38" s="23">
        <f t="shared" si="5"/>
      </c>
      <c r="U38" s="11">
        <f>'IR'!U38+ADT!U38+TECHN!U38+'AI'!U38+'IE'!U38</f>
        <v>0</v>
      </c>
      <c r="V38" s="21">
        <f t="shared" si="6"/>
      </c>
      <c r="W38" s="11">
        <f>'IR'!W38+ADT!W38+TECHN!W38+'AI'!W38+'IE'!W38</f>
        <v>0</v>
      </c>
      <c r="X38" s="52">
        <f t="shared" si="7"/>
      </c>
      <c r="Y38" s="13">
        <f>'IR'!Y38+ADT!Y38+TECHN!Y38+'AI'!Y38+'IE'!Y38</f>
        <v>0</v>
      </c>
      <c r="Z38" s="21">
        <f t="shared" si="8"/>
      </c>
      <c r="AA38" s="11">
        <f>'IR'!AA38+ADT!AA38+TECHN!AA38+'AI'!AA38+'IE'!AA38</f>
        <v>0</v>
      </c>
      <c r="AB38" s="38">
        <f t="shared" si="9"/>
      </c>
    </row>
    <row r="39" spans="1:28" ht="12.75">
      <c r="A39" s="15"/>
      <c r="B39" s="11"/>
      <c r="C39" s="34"/>
      <c r="D39" s="13"/>
      <c r="E39" s="12"/>
      <c r="F39" s="42"/>
      <c r="G39" s="13"/>
      <c r="H39" s="12"/>
      <c r="I39" s="61"/>
      <c r="J39" s="62">
        <f t="shared" si="0"/>
      </c>
      <c r="K39" s="63"/>
      <c r="L39" s="64">
        <f t="shared" si="1"/>
      </c>
      <c r="M39" s="13"/>
      <c r="N39" s="21">
        <f t="shared" si="2"/>
      </c>
      <c r="O39" s="11"/>
      <c r="P39" s="23">
        <f t="shared" si="3"/>
      </c>
      <c r="Q39" s="13"/>
      <c r="R39" s="21">
        <f t="shared" si="4"/>
      </c>
      <c r="S39" s="11"/>
      <c r="T39" s="23">
        <f t="shared" si="5"/>
      </c>
      <c r="U39" s="11"/>
      <c r="V39" s="21">
        <f t="shared" si="6"/>
      </c>
      <c r="W39" s="11"/>
      <c r="X39" s="52">
        <f t="shared" si="7"/>
      </c>
      <c r="Y39" s="13"/>
      <c r="Z39" s="21">
        <f t="shared" si="8"/>
      </c>
      <c r="AA39" s="11"/>
      <c r="AB39" s="38">
        <f t="shared" si="9"/>
      </c>
    </row>
    <row r="40" spans="1:28" ht="13.5" thickBot="1">
      <c r="A40" s="16"/>
      <c r="B40" s="11"/>
      <c r="C40" s="34"/>
      <c r="D40" s="13"/>
      <c r="E40" s="12"/>
      <c r="F40" s="49"/>
      <c r="G40" s="13"/>
      <c r="H40" s="12"/>
      <c r="I40" s="66"/>
      <c r="J40" s="67">
        <f t="shared" si="0"/>
      </c>
      <c r="K40" s="65"/>
      <c r="L40" s="68">
        <f t="shared" si="1"/>
      </c>
      <c r="M40" s="26"/>
      <c r="N40" s="29">
        <f t="shared" si="2"/>
      </c>
      <c r="O40" s="17"/>
      <c r="P40" s="35">
        <f t="shared" si="3"/>
      </c>
      <c r="Q40" s="26"/>
      <c r="R40" s="29">
        <f t="shared" si="4"/>
      </c>
      <c r="S40" s="17"/>
      <c r="T40" s="35">
        <f t="shared" si="5"/>
      </c>
      <c r="U40" s="25"/>
      <c r="V40" s="29">
        <f t="shared" si="6"/>
      </c>
      <c r="W40" s="17"/>
      <c r="X40" s="53">
        <f t="shared" si="7"/>
      </c>
      <c r="Y40" s="26"/>
      <c r="Z40" s="29">
        <f t="shared" si="8"/>
      </c>
      <c r="AA40" s="17"/>
      <c r="AB40" s="39">
        <f t="shared" si="9"/>
      </c>
    </row>
    <row r="41" spans="1:28" ht="13.5" thickBot="1">
      <c r="A41" s="3" t="s">
        <v>39</v>
      </c>
      <c r="B41" s="18">
        <f>SUM(B6:B37)</f>
        <v>37188</v>
      </c>
      <c r="C41" s="32">
        <f aca="true" t="shared" si="10" ref="C41:I41">SUM(C6:C37)</f>
        <v>35490</v>
      </c>
      <c r="D41" s="33">
        <f t="shared" si="10"/>
        <v>19913</v>
      </c>
      <c r="E41" s="19">
        <f t="shared" si="10"/>
        <v>19392</v>
      </c>
      <c r="F41" s="3">
        <f>(E41-H41)</f>
        <v>1143</v>
      </c>
      <c r="G41" s="33">
        <f t="shared" si="10"/>
        <v>18825</v>
      </c>
      <c r="H41" s="19">
        <f t="shared" si="10"/>
        <v>18249</v>
      </c>
      <c r="I41" s="69">
        <f t="shared" si="10"/>
        <v>3716</v>
      </c>
      <c r="J41" s="70">
        <f>IF(I41&gt;0,(I41*100)/G41,"")</f>
        <v>19.739707835325365</v>
      </c>
      <c r="K41" s="75">
        <f>SUM(K6:K37)</f>
        <v>3978</v>
      </c>
      <c r="L41" s="72">
        <f t="shared" si="1"/>
        <v>21.798454709847114</v>
      </c>
      <c r="M41" s="33">
        <f>SUM(M6:M37)</f>
        <v>1470</v>
      </c>
      <c r="N41" s="22">
        <f t="shared" si="2"/>
        <v>7.808764940239044</v>
      </c>
      <c r="O41" s="18">
        <f>SUM(O6:O37)</f>
        <v>1675</v>
      </c>
      <c r="P41" s="36">
        <f t="shared" si="3"/>
        <v>9.178585127952216</v>
      </c>
      <c r="Q41" s="33">
        <f>SUM(Q6:Q37)</f>
        <v>1847</v>
      </c>
      <c r="R41" s="22">
        <f t="shared" si="4"/>
        <v>9.811420982735724</v>
      </c>
      <c r="S41" s="18">
        <f>SUM(S6:S37)</f>
        <v>2024</v>
      </c>
      <c r="T41" s="36">
        <f t="shared" si="5"/>
        <v>11.091018685955396</v>
      </c>
      <c r="U41" s="33">
        <f>SUM(U6:U37)</f>
        <v>9448</v>
      </c>
      <c r="V41" s="22">
        <f t="shared" si="6"/>
        <v>50.188579017264274</v>
      </c>
      <c r="W41" s="18">
        <f>SUM(W6:W37)</f>
        <v>8724</v>
      </c>
      <c r="X41" s="36">
        <f t="shared" si="7"/>
        <v>47.80535919776426</v>
      </c>
      <c r="Y41" s="33">
        <f>SUM(Y6:Y37)</f>
        <v>1795</v>
      </c>
      <c r="Z41" s="22">
        <f t="shared" si="8"/>
        <v>9.53519256308101</v>
      </c>
      <c r="AA41" s="18">
        <f>SUM(AA6:AA37)</f>
        <v>1756</v>
      </c>
      <c r="AB41" s="37">
        <f t="shared" si="9"/>
        <v>9.62244506548304</v>
      </c>
    </row>
    <row r="42" spans="25:28" ht="12.75">
      <c r="Y42" s="54"/>
      <c r="Z42" s="54"/>
      <c r="AA42" s="54"/>
      <c r="AB42" s="54"/>
    </row>
    <row r="43" ht="12.75">
      <c r="B43" t="s">
        <v>72</v>
      </c>
    </row>
  </sheetData>
  <mergeCells count="3">
    <mergeCell ref="B4:C4"/>
    <mergeCell ref="D4:E4"/>
    <mergeCell ref="G4:H4"/>
  </mergeCells>
  <printOptions/>
  <pageMargins left="0.75" right="0.75" top="1" bottom="1" header="0.4921259845" footer="0.492125984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FERC-SUP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 Mirouse</dc:creator>
  <cp:keywords/>
  <dc:description/>
  <cp:lastModifiedBy>Le Balc'h</cp:lastModifiedBy>
  <cp:lastPrinted>2008-02-09T18:24:22Z</cp:lastPrinted>
  <dcterms:created xsi:type="dcterms:W3CDTF">2001-01-30T06:51:03Z</dcterms:created>
  <dcterms:modified xsi:type="dcterms:W3CDTF">2008-02-21T09:10:10Z</dcterms:modified>
  <cp:category/>
  <cp:version/>
  <cp:contentType/>
  <cp:contentStatus/>
</cp:coreProperties>
</file>